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04\Reports for Distribution\"/>
    </mc:Choice>
  </mc:AlternateContent>
  <xr:revisionPtr revIDLastSave="0" documentId="8_{A7ED4A01-1EB2-4484-9D95-8D49CE29C279}" xr6:coauthVersionLast="36" xr6:coauthVersionMax="36" xr10:uidLastSave="{00000000-0000-0000-0000-000000000000}"/>
  <bookViews>
    <workbookView xWindow="28680" yWindow="-120" windowWidth="29040" windowHeight="15840" tabRatio="912" activeTab="1" xr2:uid="{00000000-000D-0000-FFFF-FFFF00000000}"/>
  </bookViews>
  <sheets>
    <sheet name="Table of Contents" sheetId="185" r:id="rId1"/>
    <sheet name="Schedule 1" sheetId="11" r:id="rId2"/>
    <sheet name="Schedule 1a" sheetId="55" r:id="rId3"/>
    <sheet name="Schedule 1b" sheetId="230" r:id="rId4"/>
    <sheet name="Schedule 2" sheetId="313"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09" r:id="rId14"/>
    <sheet name="Footnotes to Schedule 7" sheetId="19" state="hidden" r:id="rId15"/>
    <sheet name="Schedule 10" sheetId="118" r:id="rId16"/>
    <sheet name="Schedule 11 A.1.1" sheetId="310" r:id="rId17"/>
    <sheet name="Schedule 11 B.1.1" sheetId="311" r:id="rId18"/>
    <sheet name="Schedule 11 D.1.1" sheetId="312"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4" hidden="1">'Schedule 2'!$A$5:$I$45</definedName>
    <definedName name="_xlnm._FilterDatabase" localSheetId="6" hidden="1">'Schedule 4'!$A$6:$J$77</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1'!$A$1:$L$74</definedName>
    <definedName name="_xlnm.Print_Area" localSheetId="3">'Schedule 1b'!$A$1:$L$69</definedName>
    <definedName name="_xlnm.Print_Area" localSheetId="6">'Schedule 4'!$A$1:$I$67</definedName>
    <definedName name="_xlnm.Print_Area" localSheetId="7">'Schedule 5'!$A$1:$O$43</definedName>
    <definedName name="_xlnm.Print_Area" localSheetId="8">'Schedule 6'!$A$1:$O$47</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S55" i="312" l="1"/>
  <c r="BH55" i="312"/>
  <c r="AC55" i="312"/>
  <c r="AB55" i="312"/>
  <c r="AA55" i="312"/>
  <c r="Z55" i="312"/>
  <c r="Y55" i="312"/>
  <c r="X55" i="312"/>
  <c r="W55" i="312"/>
  <c r="V55" i="312"/>
  <c r="U55" i="312"/>
  <c r="T55" i="312"/>
  <c r="S55" i="312"/>
  <c r="R55" i="312"/>
  <c r="Q55" i="312"/>
  <c r="P55" i="312"/>
  <c r="O55" i="312"/>
  <c r="N55" i="312"/>
  <c r="M55" i="312"/>
  <c r="L55" i="312"/>
  <c r="K55" i="312"/>
  <c r="J55" i="312"/>
  <c r="I55" i="312"/>
  <c r="H55" i="312"/>
  <c r="G55" i="312"/>
  <c r="F55" i="312"/>
  <c r="E55" i="312"/>
  <c r="D55" i="312"/>
  <c r="BS51" i="312"/>
  <c r="AW51" i="312"/>
  <c r="AV51" i="312"/>
  <c r="AU51" i="312"/>
  <c r="AT51" i="312"/>
  <c r="AQ51" i="312"/>
  <c r="AP51" i="312"/>
  <c r="AO51" i="312"/>
  <c r="AN51" i="312"/>
  <c r="AM51" i="312"/>
  <c r="AL51" i="312"/>
  <c r="AK51" i="312"/>
  <c r="AJ51" i="312"/>
  <c r="AI51" i="312"/>
  <c r="AH51" i="312"/>
  <c r="AG51" i="312"/>
  <c r="AF51" i="312"/>
  <c r="BS49" i="312"/>
  <c r="BS52" i="312" s="1"/>
  <c r="BF49" i="312"/>
  <c r="AS49" i="312"/>
  <c r="AS51" i="312" s="1"/>
  <c r="BH47" i="312"/>
  <c r="BI47" i="312" s="1"/>
  <c r="BG47" i="312"/>
  <c r="BL46" i="312"/>
  <c r="BM46" i="312" s="1"/>
  <c r="BN46" i="312" s="1"/>
  <c r="BO46" i="312" s="1"/>
  <c r="BP46" i="312" s="1"/>
  <c r="BQ46" i="312" s="1"/>
  <c r="BR46" i="312" s="1"/>
  <c r="BH46" i="312"/>
  <c r="BI46" i="312" s="1"/>
  <c r="BJ46" i="312" s="1"/>
  <c r="BK46" i="312" s="1"/>
  <c r="BG46" i="312"/>
  <c r="BF46" i="312"/>
  <c r="AW46" i="312"/>
  <c r="AV46" i="312"/>
  <c r="AU46" i="312"/>
  <c r="AT46" i="312"/>
  <c r="AS46" i="312"/>
  <c r="AF46" i="312"/>
  <c r="AE46" i="312"/>
  <c r="AC46" i="312"/>
  <c r="AB46" i="312"/>
  <c r="AA46" i="312"/>
  <c r="Z46" i="312"/>
  <c r="Y46" i="312"/>
  <c r="X46" i="312"/>
  <c r="W46" i="312"/>
  <c r="V46" i="312"/>
  <c r="U46" i="312"/>
  <c r="T46" i="312"/>
  <c r="S46" i="312"/>
  <c r="R46" i="312"/>
  <c r="Q46" i="312"/>
  <c r="P46" i="312"/>
  <c r="O46" i="312"/>
  <c r="N46" i="312"/>
  <c r="M46" i="312"/>
  <c r="L46" i="312"/>
  <c r="K46" i="312"/>
  <c r="J46" i="312"/>
  <c r="I46" i="312"/>
  <c r="H46" i="312"/>
  <c r="G46" i="312"/>
  <c r="F46" i="312"/>
  <c r="E46" i="312"/>
  <c r="D46" i="312"/>
  <c r="BG45" i="312"/>
  <c r="BH45" i="312" s="1"/>
  <c r="BI45" i="312" s="1"/>
  <c r="BJ45" i="312" s="1"/>
  <c r="BK45" i="312" s="1"/>
  <c r="BL45" i="312" s="1"/>
  <c r="BM45" i="312" s="1"/>
  <c r="BN45" i="312" s="1"/>
  <c r="BO45" i="312" s="1"/>
  <c r="BP45" i="312" s="1"/>
  <c r="BQ45" i="312" s="1"/>
  <c r="BR45" i="312" s="1"/>
  <c r="AX45" i="312"/>
  <c r="AY45" i="312" s="1"/>
  <c r="AZ45" i="312" s="1"/>
  <c r="BA45" i="312" s="1"/>
  <c r="BB45" i="312" s="1"/>
  <c r="BC45" i="312" s="1"/>
  <c r="BD45" i="312" s="1"/>
  <c r="BE45" i="312" s="1"/>
  <c r="AG45" i="312"/>
  <c r="AD45" i="312"/>
  <c r="BP44" i="312"/>
  <c r="BQ44" i="312" s="1"/>
  <c r="BR44" i="312" s="1"/>
  <c r="BL44" i="312"/>
  <c r="BM44" i="312" s="1"/>
  <c r="BN44" i="312" s="1"/>
  <c r="BO44" i="312" s="1"/>
  <c r="BH44" i="312"/>
  <c r="BI44" i="312" s="1"/>
  <c r="BJ44" i="312" s="1"/>
  <c r="BK44" i="312" s="1"/>
  <c r="BG44" i="312"/>
  <c r="BC44" i="312"/>
  <c r="BD44" i="312" s="1"/>
  <c r="BE44" i="312" s="1"/>
  <c r="AY44" i="312"/>
  <c r="AZ44" i="312" s="1"/>
  <c r="BA44" i="312" s="1"/>
  <c r="BB44" i="312" s="1"/>
  <c r="AX44" i="312"/>
  <c r="AR44" i="312"/>
  <c r="AD44" i="312"/>
  <c r="AD46" i="312" s="1"/>
  <c r="BG43" i="312"/>
  <c r="BH43" i="312" s="1"/>
  <c r="BI43" i="312" s="1"/>
  <c r="BJ43" i="312" s="1"/>
  <c r="BK43" i="312" s="1"/>
  <c r="BL43" i="312" s="1"/>
  <c r="BM43" i="312" s="1"/>
  <c r="BN43" i="312" s="1"/>
  <c r="BO43" i="312" s="1"/>
  <c r="BP43" i="312" s="1"/>
  <c r="BQ43" i="312" s="1"/>
  <c r="BR43" i="312" s="1"/>
  <c r="BF43" i="312"/>
  <c r="AT43" i="312"/>
  <c r="AS43" i="312"/>
  <c r="AF43" i="312"/>
  <c r="AE43" i="312"/>
  <c r="AC43" i="312"/>
  <c r="AB43" i="312"/>
  <c r="AA43" i="312"/>
  <c r="Z43" i="312"/>
  <c r="Y43" i="312"/>
  <c r="X43" i="312"/>
  <c r="W43" i="312"/>
  <c r="V43" i="312"/>
  <c r="U43" i="312"/>
  <c r="T43" i="312"/>
  <c r="S43" i="312"/>
  <c r="R43" i="312"/>
  <c r="BK42" i="312"/>
  <c r="BL42" i="312" s="1"/>
  <c r="BM42" i="312" s="1"/>
  <c r="BN42" i="312" s="1"/>
  <c r="BO42" i="312" s="1"/>
  <c r="BP42" i="312" s="1"/>
  <c r="BQ42" i="312" s="1"/>
  <c r="BR42" i="312" s="1"/>
  <c r="BG42" i="312"/>
  <c r="BH42" i="312" s="1"/>
  <c r="BI42" i="312" s="1"/>
  <c r="BJ42" i="312" s="1"/>
  <c r="BC42" i="312"/>
  <c r="BD42" i="312" s="1"/>
  <c r="BE42" i="312" s="1"/>
  <c r="AY42" i="312"/>
  <c r="AZ42" i="312" s="1"/>
  <c r="BA42" i="312" s="1"/>
  <c r="BB42" i="312" s="1"/>
  <c r="AX42" i="312"/>
  <c r="AR42" i="312"/>
  <c r="AD42" i="312"/>
  <c r="BM41" i="312"/>
  <c r="BN41" i="312" s="1"/>
  <c r="BO41" i="312" s="1"/>
  <c r="BP41" i="312" s="1"/>
  <c r="BQ41" i="312" s="1"/>
  <c r="BR41" i="312" s="1"/>
  <c r="BJ41" i="312"/>
  <c r="BK41" i="312" s="1"/>
  <c r="BL41" i="312" s="1"/>
  <c r="BI41" i="312"/>
  <c r="BH41" i="312"/>
  <c r="BG41" i="312"/>
  <c r="BA41" i="312"/>
  <c r="BB41" i="312" s="1"/>
  <c r="BC41" i="312" s="1"/>
  <c r="BD41" i="312" s="1"/>
  <c r="BE41" i="312" s="1"/>
  <c r="AZ41" i="312"/>
  <c r="AY41" i="312"/>
  <c r="AX41" i="312"/>
  <c r="AR41" i="312"/>
  <c r="AD41" i="312"/>
  <c r="BH40" i="312"/>
  <c r="BI40" i="312" s="1"/>
  <c r="BJ40" i="312" s="1"/>
  <c r="BK40" i="312" s="1"/>
  <c r="BL40" i="312" s="1"/>
  <c r="BM40" i="312" s="1"/>
  <c r="BN40" i="312" s="1"/>
  <c r="BO40" i="312" s="1"/>
  <c r="BP40" i="312" s="1"/>
  <c r="BQ40" i="312" s="1"/>
  <c r="BR40" i="312" s="1"/>
  <c r="BG40" i="312"/>
  <c r="AY40" i="312"/>
  <c r="AZ40" i="312" s="1"/>
  <c r="BA40" i="312" s="1"/>
  <c r="BB40" i="312" s="1"/>
  <c r="BC40" i="312" s="1"/>
  <c r="BD40" i="312" s="1"/>
  <c r="BE40" i="312" s="1"/>
  <c r="AX40" i="312"/>
  <c r="AR40" i="312"/>
  <c r="AD40" i="312"/>
  <c r="BR39" i="312"/>
  <c r="BI39" i="312"/>
  <c r="BJ39" i="312" s="1"/>
  <c r="BK39" i="312" s="1"/>
  <c r="BL39" i="312" s="1"/>
  <c r="BM39" i="312" s="1"/>
  <c r="BN39" i="312" s="1"/>
  <c r="BO39" i="312" s="1"/>
  <c r="BP39" i="312" s="1"/>
  <c r="BQ39" i="312" s="1"/>
  <c r="BH39" i="312"/>
  <c r="BG39" i="312"/>
  <c r="AU39" i="312"/>
  <c r="AG39" i="312"/>
  <c r="AD39" i="312"/>
  <c r="BJ38" i="312"/>
  <c r="BK38" i="312" s="1"/>
  <c r="BL38" i="312" s="1"/>
  <c r="BM38" i="312" s="1"/>
  <c r="BN38" i="312" s="1"/>
  <c r="BO38" i="312" s="1"/>
  <c r="BP38" i="312" s="1"/>
  <c r="BQ38" i="312" s="1"/>
  <c r="BR38" i="312" s="1"/>
  <c r="BG38" i="312"/>
  <c r="BH38" i="312" s="1"/>
  <c r="BI38" i="312" s="1"/>
  <c r="AU38" i="312"/>
  <c r="AG38" i="312"/>
  <c r="AD38" i="312"/>
  <c r="BG37" i="312"/>
  <c r="BH37" i="312" s="1"/>
  <c r="BI37" i="312" s="1"/>
  <c r="BJ37" i="312" s="1"/>
  <c r="BK37" i="312" s="1"/>
  <c r="BL37" i="312" s="1"/>
  <c r="BM37" i="312" s="1"/>
  <c r="BN37" i="312" s="1"/>
  <c r="BO37" i="312" s="1"/>
  <c r="BP37" i="312" s="1"/>
  <c r="BQ37" i="312" s="1"/>
  <c r="BR37" i="312" s="1"/>
  <c r="AU37" i="312"/>
  <c r="AG37" i="312"/>
  <c r="AD37" i="312"/>
  <c r="BJ36" i="312"/>
  <c r="BK36" i="312" s="1"/>
  <c r="BL36" i="312" s="1"/>
  <c r="BM36" i="312" s="1"/>
  <c r="BN36" i="312" s="1"/>
  <c r="BO36" i="312" s="1"/>
  <c r="BP36" i="312" s="1"/>
  <c r="BQ36" i="312" s="1"/>
  <c r="BR36" i="312" s="1"/>
  <c r="BG36" i="312"/>
  <c r="BH36" i="312" s="1"/>
  <c r="BI36" i="312" s="1"/>
  <c r="AU36" i="312"/>
  <c r="AG36" i="312"/>
  <c r="AD36" i="312"/>
  <c r="BJ35" i="312"/>
  <c r="BK35" i="312" s="1"/>
  <c r="BL35" i="312" s="1"/>
  <c r="BM35" i="312" s="1"/>
  <c r="BN35" i="312" s="1"/>
  <c r="BO35" i="312" s="1"/>
  <c r="BP35" i="312" s="1"/>
  <c r="BQ35" i="312" s="1"/>
  <c r="BR35" i="312" s="1"/>
  <c r="BH35" i="312"/>
  <c r="BI35" i="312" s="1"/>
  <c r="BG35" i="312"/>
  <c r="BB35" i="312"/>
  <c r="BC35" i="312" s="1"/>
  <c r="BD35" i="312" s="1"/>
  <c r="BE35" i="312" s="1"/>
  <c r="AW35" i="312"/>
  <c r="AX35" i="312" s="1"/>
  <c r="AY35" i="312" s="1"/>
  <c r="AZ35" i="312" s="1"/>
  <c r="BA35" i="312" s="1"/>
  <c r="AU35" i="312"/>
  <c r="AV35" i="312" s="1"/>
  <c r="AG35" i="312"/>
  <c r="AD35" i="312"/>
  <c r="BL34" i="312"/>
  <c r="BM34" i="312" s="1"/>
  <c r="BN34" i="312" s="1"/>
  <c r="BO34" i="312" s="1"/>
  <c r="BP34" i="312" s="1"/>
  <c r="BQ34" i="312" s="1"/>
  <c r="BR34" i="312" s="1"/>
  <c r="BG34" i="312"/>
  <c r="BH34" i="312" s="1"/>
  <c r="BI34" i="312" s="1"/>
  <c r="BJ34" i="312" s="1"/>
  <c r="BK34" i="312" s="1"/>
  <c r="AW34" i="312"/>
  <c r="AX34" i="312" s="1"/>
  <c r="AY34" i="312" s="1"/>
  <c r="AZ34" i="312" s="1"/>
  <c r="BA34" i="312" s="1"/>
  <c r="BB34" i="312" s="1"/>
  <c r="BC34" i="312" s="1"/>
  <c r="BD34" i="312" s="1"/>
  <c r="BE34" i="312" s="1"/>
  <c r="AU34" i="312"/>
  <c r="AV34" i="312" s="1"/>
  <c r="AG34" i="312"/>
  <c r="AD34" i="312"/>
  <c r="BG33" i="312"/>
  <c r="BH33" i="312" s="1"/>
  <c r="BI33" i="312" s="1"/>
  <c r="BJ33" i="312" s="1"/>
  <c r="BK33" i="312" s="1"/>
  <c r="BL33" i="312" s="1"/>
  <c r="BM33" i="312" s="1"/>
  <c r="BN33" i="312" s="1"/>
  <c r="BO33" i="312" s="1"/>
  <c r="BP33" i="312" s="1"/>
  <c r="BQ33" i="312" s="1"/>
  <c r="BR33" i="312" s="1"/>
  <c r="AU33" i="312"/>
  <c r="AG33" i="312"/>
  <c r="AD33" i="312"/>
  <c r="BJ32" i="312"/>
  <c r="BK32" i="312" s="1"/>
  <c r="BL32" i="312" s="1"/>
  <c r="BM32" i="312" s="1"/>
  <c r="BN32" i="312" s="1"/>
  <c r="BO32" i="312" s="1"/>
  <c r="BP32" i="312" s="1"/>
  <c r="BQ32" i="312" s="1"/>
  <c r="BR32" i="312" s="1"/>
  <c r="BG32" i="312"/>
  <c r="BH32" i="312" s="1"/>
  <c r="BI32" i="312" s="1"/>
  <c r="AU32" i="312"/>
  <c r="AG32" i="312"/>
  <c r="AD32" i="312"/>
  <c r="BK31" i="312"/>
  <c r="BL31" i="312" s="1"/>
  <c r="BM31" i="312" s="1"/>
  <c r="BN31" i="312" s="1"/>
  <c r="BO31" i="312" s="1"/>
  <c r="BP31" i="312" s="1"/>
  <c r="BQ31" i="312" s="1"/>
  <c r="BR31" i="312" s="1"/>
  <c r="BG31" i="312"/>
  <c r="BH31" i="312" s="1"/>
  <c r="BI31" i="312" s="1"/>
  <c r="BJ31" i="312" s="1"/>
  <c r="AU31" i="312"/>
  <c r="AV31" i="312" s="1"/>
  <c r="AG31" i="312"/>
  <c r="AD31" i="312"/>
  <c r="BJ30" i="312"/>
  <c r="BK30" i="312" s="1"/>
  <c r="BL30" i="312" s="1"/>
  <c r="BM30" i="312" s="1"/>
  <c r="BN30" i="312" s="1"/>
  <c r="BO30" i="312" s="1"/>
  <c r="BP30" i="312" s="1"/>
  <c r="BQ30" i="312" s="1"/>
  <c r="BR30" i="312" s="1"/>
  <c r="BH30" i="312"/>
  <c r="BI30" i="312" s="1"/>
  <c r="BG30" i="312"/>
  <c r="AW30" i="312"/>
  <c r="AX30" i="312" s="1"/>
  <c r="AY30" i="312" s="1"/>
  <c r="AZ30" i="312" s="1"/>
  <c r="BA30" i="312" s="1"/>
  <c r="BB30" i="312" s="1"/>
  <c r="BC30" i="312" s="1"/>
  <c r="BD30" i="312" s="1"/>
  <c r="BE30" i="312" s="1"/>
  <c r="AU30" i="312"/>
  <c r="AV30" i="312" s="1"/>
  <c r="AG30" i="312"/>
  <c r="AD30" i="312"/>
  <c r="BL29" i="312"/>
  <c r="BM29" i="312" s="1"/>
  <c r="BN29" i="312" s="1"/>
  <c r="BO29" i="312" s="1"/>
  <c r="BP29" i="312" s="1"/>
  <c r="BQ29" i="312" s="1"/>
  <c r="BR29" i="312" s="1"/>
  <c r="BH29" i="312"/>
  <c r="BI29" i="312" s="1"/>
  <c r="BJ29" i="312" s="1"/>
  <c r="BK29" i="312" s="1"/>
  <c r="BG29" i="312"/>
  <c r="AU29" i="312"/>
  <c r="AR29" i="312"/>
  <c r="AD29" i="312"/>
  <c r="BK28" i="312"/>
  <c r="BL28" i="312" s="1"/>
  <c r="BM28" i="312" s="1"/>
  <c r="BN28" i="312" s="1"/>
  <c r="BO28" i="312" s="1"/>
  <c r="BP28" i="312" s="1"/>
  <c r="BQ28" i="312" s="1"/>
  <c r="BR28" i="312" s="1"/>
  <c r="BG28" i="312"/>
  <c r="BH28" i="312" s="1"/>
  <c r="BI28" i="312" s="1"/>
  <c r="BJ28" i="312" s="1"/>
  <c r="BF28" i="312"/>
  <c r="AW28" i="312"/>
  <c r="AV28" i="312"/>
  <c r="AU28" i="312"/>
  <c r="AT28" i="312"/>
  <c r="AS28" i="312"/>
  <c r="AS47" i="312" s="1"/>
  <c r="AS55" i="312" s="1"/>
  <c r="AQ28" i="312"/>
  <c r="AP28" i="312"/>
  <c r="AO28" i="312"/>
  <c r="AN28" i="312"/>
  <c r="AM28" i="312"/>
  <c r="AL28" i="312"/>
  <c r="AK28" i="312"/>
  <c r="AJ28" i="312"/>
  <c r="AH28" i="312"/>
  <c r="AF28" i="312"/>
  <c r="AF47" i="312" s="1"/>
  <c r="AE28" i="312"/>
  <c r="AE47" i="312" s="1"/>
  <c r="AC28" i="312"/>
  <c r="AB28" i="312"/>
  <c r="AA28" i="312"/>
  <c r="Z28" i="312"/>
  <c r="Y28" i="312"/>
  <c r="X28" i="312"/>
  <c r="W28" i="312"/>
  <c r="V28" i="312"/>
  <c r="U28" i="312"/>
  <c r="T28" i="312"/>
  <c r="S28" i="312"/>
  <c r="R28" i="312"/>
  <c r="Q28" i="312"/>
  <c r="P28" i="312"/>
  <c r="O28" i="312"/>
  <c r="N28" i="312"/>
  <c r="M28" i="312"/>
  <c r="L28" i="312"/>
  <c r="K28" i="312"/>
  <c r="J28" i="312"/>
  <c r="I28" i="312"/>
  <c r="H28" i="312"/>
  <c r="G28" i="312"/>
  <c r="F28" i="312"/>
  <c r="E28" i="312"/>
  <c r="D28" i="312"/>
  <c r="BH27" i="312"/>
  <c r="BI27" i="312" s="1"/>
  <c r="BJ27" i="312" s="1"/>
  <c r="BK27" i="312" s="1"/>
  <c r="BL27" i="312" s="1"/>
  <c r="BM27" i="312" s="1"/>
  <c r="BN27" i="312" s="1"/>
  <c r="BO27" i="312" s="1"/>
  <c r="BP27" i="312" s="1"/>
  <c r="BQ27" i="312" s="1"/>
  <c r="BR27" i="312" s="1"/>
  <c r="BG27" i="312"/>
  <c r="AX27" i="312"/>
  <c r="AY27" i="312" s="1"/>
  <c r="AZ27" i="312" s="1"/>
  <c r="BA27" i="312" s="1"/>
  <c r="BB27" i="312" s="1"/>
  <c r="BC27" i="312" s="1"/>
  <c r="BD27" i="312" s="1"/>
  <c r="BE27" i="312" s="1"/>
  <c r="AR27" i="312"/>
  <c r="AD27" i="312"/>
  <c r="BN26" i="312"/>
  <c r="BO26" i="312" s="1"/>
  <c r="BP26" i="312" s="1"/>
  <c r="BQ26" i="312" s="1"/>
  <c r="BR26" i="312" s="1"/>
  <c r="BJ26" i="312"/>
  <c r="BK26" i="312" s="1"/>
  <c r="BL26" i="312" s="1"/>
  <c r="BM26" i="312" s="1"/>
  <c r="BI26" i="312"/>
  <c r="BH26" i="312"/>
  <c r="BG26" i="312"/>
  <c r="AZ26" i="312"/>
  <c r="BA26" i="312" s="1"/>
  <c r="BB26" i="312" s="1"/>
  <c r="BC26" i="312" s="1"/>
  <c r="BD26" i="312" s="1"/>
  <c r="BE26" i="312" s="1"/>
  <c r="AY26" i="312"/>
  <c r="AX26" i="312"/>
  <c r="AI26" i="312"/>
  <c r="AI28" i="312" s="1"/>
  <c r="AG26" i="312"/>
  <c r="AD26" i="312"/>
  <c r="AD28" i="312" s="1"/>
  <c r="BJ21" i="312"/>
  <c r="BH21" i="312"/>
  <c r="BI21" i="312" s="1"/>
  <c r="BG21" i="312"/>
  <c r="AS21" i="312"/>
  <c r="AS52" i="312" s="1"/>
  <c r="AP21" i="312"/>
  <c r="AP52" i="312" s="1"/>
  <c r="AL21" i="312"/>
  <c r="AL52" i="312" s="1"/>
  <c r="AG21" i="312"/>
  <c r="AG52" i="312" s="1"/>
  <c r="BG20" i="312"/>
  <c r="BH20" i="312" s="1"/>
  <c r="BI20" i="312" s="1"/>
  <c r="BJ20" i="312" s="1"/>
  <c r="BK20" i="312" s="1"/>
  <c r="BL20" i="312" s="1"/>
  <c r="BM20" i="312" s="1"/>
  <c r="BN20" i="312" s="1"/>
  <c r="BO20" i="312" s="1"/>
  <c r="BP20" i="312" s="1"/>
  <c r="BQ20" i="312" s="1"/>
  <c r="BR20" i="312" s="1"/>
  <c r="AV20" i="312"/>
  <c r="AW20" i="312" s="1"/>
  <c r="AX20" i="312" s="1"/>
  <c r="AY20" i="312" s="1"/>
  <c r="AZ20" i="312" s="1"/>
  <c r="BA20" i="312" s="1"/>
  <c r="BB20" i="312" s="1"/>
  <c r="BC20" i="312" s="1"/>
  <c r="BD20" i="312" s="1"/>
  <c r="BE20" i="312" s="1"/>
  <c r="AU20" i="312"/>
  <c r="AG20" i="312"/>
  <c r="AD20" i="312"/>
  <c r="BG19" i="312"/>
  <c r="BH19" i="312" s="1"/>
  <c r="BI19" i="312" s="1"/>
  <c r="BJ19" i="312" s="1"/>
  <c r="BK19" i="312" s="1"/>
  <c r="BL19" i="312" s="1"/>
  <c r="BM19" i="312" s="1"/>
  <c r="BN19" i="312" s="1"/>
  <c r="BO19" i="312" s="1"/>
  <c r="BP19" i="312" s="1"/>
  <c r="BQ19" i="312" s="1"/>
  <c r="BR19" i="312" s="1"/>
  <c r="AU19" i="312"/>
  <c r="AG19" i="312"/>
  <c r="AD19" i="312"/>
  <c r="BG18" i="312"/>
  <c r="BH18" i="312" s="1"/>
  <c r="AU18" i="312"/>
  <c r="AR18" i="312"/>
  <c r="AD18" i="312"/>
  <c r="BQ17" i="312"/>
  <c r="BR17" i="312" s="1"/>
  <c r="BG17" i="312"/>
  <c r="BH17" i="312" s="1"/>
  <c r="BI17" i="312" s="1"/>
  <c r="BJ17" i="312" s="1"/>
  <c r="BK17" i="312" s="1"/>
  <c r="BL17" i="312" s="1"/>
  <c r="BM17" i="312" s="1"/>
  <c r="BN17" i="312" s="1"/>
  <c r="BO17" i="312" s="1"/>
  <c r="BP17" i="312" s="1"/>
  <c r="BF17" i="312"/>
  <c r="AW17" i="312"/>
  <c r="AU17" i="312"/>
  <c r="AT17" i="312"/>
  <c r="AS17" i="312"/>
  <c r="AQ17" i="312"/>
  <c r="AQ21" i="312" s="1"/>
  <c r="AQ52" i="312" s="1"/>
  <c r="AP17" i="312"/>
  <c r="AO17" i="312"/>
  <c r="AN17" i="312"/>
  <c r="AM17" i="312"/>
  <c r="AL17" i="312"/>
  <c r="AK17" i="312"/>
  <c r="AJ17" i="312"/>
  <c r="AI17" i="312"/>
  <c r="AH17" i="312"/>
  <c r="AG17" i="312"/>
  <c r="AF17" i="312"/>
  <c r="AF21" i="312" s="1"/>
  <c r="AF52" i="312" s="1"/>
  <c r="AE17" i="312"/>
  <c r="BI16" i="312"/>
  <c r="BJ16" i="312" s="1"/>
  <c r="BK16" i="312" s="1"/>
  <c r="BL16" i="312" s="1"/>
  <c r="BM16" i="312" s="1"/>
  <c r="BN16" i="312" s="1"/>
  <c r="BO16" i="312" s="1"/>
  <c r="BP16" i="312" s="1"/>
  <c r="BQ16" i="312" s="1"/>
  <c r="BR16" i="312" s="1"/>
  <c r="BG16" i="312"/>
  <c r="BH16" i="312" s="1"/>
  <c r="AY16" i="312"/>
  <c r="AZ16" i="312" s="1"/>
  <c r="BA16" i="312" s="1"/>
  <c r="BB16" i="312" s="1"/>
  <c r="BC16" i="312" s="1"/>
  <c r="BD16" i="312" s="1"/>
  <c r="BE16" i="312" s="1"/>
  <c r="AX16" i="312"/>
  <c r="AR16" i="312"/>
  <c r="AD16" i="312"/>
  <c r="BG15" i="312"/>
  <c r="BH15" i="312" s="1"/>
  <c r="BI15" i="312" s="1"/>
  <c r="BJ15" i="312" s="1"/>
  <c r="BK15" i="312" s="1"/>
  <c r="BL15" i="312" s="1"/>
  <c r="BM15" i="312" s="1"/>
  <c r="BN15" i="312" s="1"/>
  <c r="BO15" i="312" s="1"/>
  <c r="BP15" i="312" s="1"/>
  <c r="BQ15" i="312" s="1"/>
  <c r="BR15" i="312" s="1"/>
  <c r="AZ15" i="312"/>
  <c r="BA15" i="312" s="1"/>
  <c r="BB15" i="312" s="1"/>
  <c r="BC15" i="312" s="1"/>
  <c r="BD15" i="312" s="1"/>
  <c r="BE15" i="312" s="1"/>
  <c r="AX15" i="312"/>
  <c r="AY15" i="312" s="1"/>
  <c r="AR15" i="312"/>
  <c r="AD15" i="312"/>
  <c r="BG14" i="312"/>
  <c r="BH14" i="312" s="1"/>
  <c r="BI14" i="312" s="1"/>
  <c r="BJ14" i="312" s="1"/>
  <c r="BK14" i="312" s="1"/>
  <c r="BL14" i="312" s="1"/>
  <c r="BM14" i="312" s="1"/>
  <c r="BN14" i="312" s="1"/>
  <c r="BO14" i="312" s="1"/>
  <c r="BP14" i="312" s="1"/>
  <c r="BQ14" i="312" s="1"/>
  <c r="BR14" i="312" s="1"/>
  <c r="BB14" i="312"/>
  <c r="BC14" i="312" s="1"/>
  <c r="BD14" i="312" s="1"/>
  <c r="BE14" i="312" s="1"/>
  <c r="AV14" i="312"/>
  <c r="AU14" i="312"/>
  <c r="AX14" i="312" s="1"/>
  <c r="AY14" i="312" s="1"/>
  <c r="AZ14" i="312" s="1"/>
  <c r="BA14" i="312" s="1"/>
  <c r="AR14" i="312"/>
  <c r="AD14" i="312"/>
  <c r="BL13" i="312"/>
  <c r="BM13" i="312" s="1"/>
  <c r="BN13" i="312" s="1"/>
  <c r="BO13" i="312" s="1"/>
  <c r="BP13" i="312" s="1"/>
  <c r="BQ13" i="312" s="1"/>
  <c r="BR13" i="312" s="1"/>
  <c r="BK13" i="312"/>
  <c r="BG13" i="312"/>
  <c r="BH13" i="312" s="1"/>
  <c r="BI13" i="312" s="1"/>
  <c r="BJ13" i="312" s="1"/>
  <c r="AZ13" i="312"/>
  <c r="BA13" i="312" s="1"/>
  <c r="BB13" i="312" s="1"/>
  <c r="BC13" i="312" s="1"/>
  <c r="BD13" i="312" s="1"/>
  <c r="BE13" i="312" s="1"/>
  <c r="AY13" i="312"/>
  <c r="AX13" i="312"/>
  <c r="AR13" i="312"/>
  <c r="AD13" i="312"/>
  <c r="BI12" i="312"/>
  <c r="BJ12" i="312" s="1"/>
  <c r="BK12" i="312" s="1"/>
  <c r="BL12" i="312" s="1"/>
  <c r="BM12" i="312" s="1"/>
  <c r="BN12" i="312" s="1"/>
  <c r="BO12" i="312" s="1"/>
  <c r="BP12" i="312" s="1"/>
  <c r="BQ12" i="312" s="1"/>
  <c r="BR12" i="312" s="1"/>
  <c r="BG12" i="312"/>
  <c r="BH12" i="312" s="1"/>
  <c r="AX12" i="312"/>
  <c r="AY12" i="312" s="1"/>
  <c r="AZ12" i="312" s="1"/>
  <c r="BA12" i="312" s="1"/>
  <c r="BB12" i="312" s="1"/>
  <c r="BC12" i="312" s="1"/>
  <c r="BD12" i="312" s="1"/>
  <c r="BE12" i="312" s="1"/>
  <c r="AR12" i="312"/>
  <c r="AD12" i="312"/>
  <c r="BG11" i="312"/>
  <c r="BH11" i="312" s="1"/>
  <c r="BI11" i="312" s="1"/>
  <c r="BJ11" i="312" s="1"/>
  <c r="BK11" i="312" s="1"/>
  <c r="BL11" i="312" s="1"/>
  <c r="BM11" i="312" s="1"/>
  <c r="BN11" i="312" s="1"/>
  <c r="BO11" i="312" s="1"/>
  <c r="BP11" i="312" s="1"/>
  <c r="BQ11" i="312" s="1"/>
  <c r="BR11" i="312" s="1"/>
  <c r="AW11" i="312"/>
  <c r="AV11" i="312"/>
  <c r="AU11" i="312"/>
  <c r="AK11" i="312"/>
  <c r="AM11" i="312" s="1"/>
  <c r="AG11" i="312"/>
  <c r="AJ11" i="312" s="1"/>
  <c r="AD11" i="312"/>
  <c r="BJ10" i="312"/>
  <c r="BK10" i="312" s="1"/>
  <c r="BL10" i="312" s="1"/>
  <c r="BM10" i="312" s="1"/>
  <c r="BN10" i="312" s="1"/>
  <c r="BO10" i="312" s="1"/>
  <c r="BP10" i="312" s="1"/>
  <c r="BQ10" i="312" s="1"/>
  <c r="BR10" i="312" s="1"/>
  <c r="BG10" i="312"/>
  <c r="BH10" i="312" s="1"/>
  <c r="BI10" i="312" s="1"/>
  <c r="AX10" i="312"/>
  <c r="AY10" i="312" s="1"/>
  <c r="AZ10" i="312" s="1"/>
  <c r="BA10" i="312" s="1"/>
  <c r="BB10" i="312" s="1"/>
  <c r="BC10" i="312" s="1"/>
  <c r="BD10" i="312" s="1"/>
  <c r="BE10" i="312" s="1"/>
  <c r="AR10" i="312"/>
  <c r="AD10" i="312"/>
  <c r="BI9" i="312"/>
  <c r="BJ9" i="312" s="1"/>
  <c r="BK9" i="312" s="1"/>
  <c r="BL9" i="312" s="1"/>
  <c r="BM9" i="312" s="1"/>
  <c r="BN9" i="312" s="1"/>
  <c r="BO9" i="312" s="1"/>
  <c r="BP9" i="312" s="1"/>
  <c r="BQ9" i="312" s="1"/>
  <c r="BR9" i="312" s="1"/>
  <c r="BH9" i="312"/>
  <c r="BG9" i="312"/>
  <c r="AZ9" i="312"/>
  <c r="BA9" i="312" s="1"/>
  <c r="BB9" i="312" s="1"/>
  <c r="BC9" i="312" s="1"/>
  <c r="BD9" i="312" s="1"/>
  <c r="BE9" i="312" s="1"/>
  <c r="AY9" i="312"/>
  <c r="AX9" i="312"/>
  <c r="AR9" i="312"/>
  <c r="AD9" i="312"/>
  <c r="BG8" i="312"/>
  <c r="BF8" i="312"/>
  <c r="AR8" i="312"/>
  <c r="AD8" i="312"/>
  <c r="AF54" i="311"/>
  <c r="AS53" i="311"/>
  <c r="AQ53" i="311"/>
  <c r="AP53" i="311"/>
  <c r="AO53" i="311"/>
  <c r="AN53" i="311"/>
  <c r="AM53" i="311"/>
  <c r="AL53" i="311"/>
  <c r="AK53" i="311"/>
  <c r="AJ53" i="311"/>
  <c r="AI53" i="311"/>
  <c r="AH53" i="311"/>
  <c r="AG53" i="311"/>
  <c r="AF53" i="311"/>
  <c r="AC53" i="311"/>
  <c r="AB53" i="311"/>
  <c r="AA53" i="311"/>
  <c r="Z53" i="311"/>
  <c r="Y53" i="311"/>
  <c r="X53" i="311"/>
  <c r="W53" i="311"/>
  <c r="V53" i="311"/>
  <c r="U53" i="311"/>
  <c r="T53" i="311"/>
  <c r="S53" i="311"/>
  <c r="R53" i="311"/>
  <c r="BS51" i="311"/>
  <c r="BS53" i="311" s="1"/>
  <c r="AS51" i="311"/>
  <c r="AE51" i="311"/>
  <c r="AE53" i="311" s="1"/>
  <c r="BG49" i="311"/>
  <c r="BH49" i="311" s="1"/>
  <c r="BI49" i="311" s="1"/>
  <c r="BJ49" i="311" s="1"/>
  <c r="BK49" i="311" s="1"/>
  <c r="BL49" i="311" s="1"/>
  <c r="BM49" i="311" s="1"/>
  <c r="BN49" i="311" s="1"/>
  <c r="BO49" i="311" s="1"/>
  <c r="BP49" i="311" s="1"/>
  <c r="BQ49" i="311" s="1"/>
  <c r="BR49" i="311" s="1"/>
  <c r="AE49" i="311"/>
  <c r="Q49" i="311"/>
  <c r="BS48" i="311"/>
  <c r="BI48" i="311"/>
  <c r="BJ48" i="311" s="1"/>
  <c r="BK48" i="311" s="1"/>
  <c r="BL48" i="311" s="1"/>
  <c r="BM48" i="311" s="1"/>
  <c r="BN48" i="311" s="1"/>
  <c r="BO48" i="311" s="1"/>
  <c r="BP48" i="311" s="1"/>
  <c r="BQ48" i="311" s="1"/>
  <c r="BR48" i="311" s="1"/>
  <c r="BG48" i="311"/>
  <c r="BH48" i="311" s="1"/>
  <c r="BF48" i="311"/>
  <c r="AW48" i="311"/>
  <c r="AV48" i="311"/>
  <c r="AU48" i="311"/>
  <c r="AS48" i="311"/>
  <c r="AQ48" i="311"/>
  <c r="AP48" i="311"/>
  <c r="AO48" i="311"/>
  <c r="AN48" i="311"/>
  <c r="AM48" i="311"/>
  <c r="AL48" i="311"/>
  <c r="AK48" i="311"/>
  <c r="AJ48" i="311"/>
  <c r="AI48" i="311"/>
  <c r="AH48" i="311"/>
  <c r="AG48" i="311"/>
  <c r="AF48" i="311"/>
  <c r="AF49" i="311" s="1"/>
  <c r="AE48" i="311"/>
  <c r="AC48" i="311"/>
  <c r="AB48" i="311"/>
  <c r="AA48" i="311"/>
  <c r="Z48" i="311"/>
  <c r="Y48" i="311"/>
  <c r="X48" i="311"/>
  <c r="W48" i="311"/>
  <c r="V48" i="311"/>
  <c r="U48" i="311"/>
  <c r="T48" i="311"/>
  <c r="S48" i="311"/>
  <c r="R48" i="311"/>
  <c r="Q48" i="311"/>
  <c r="O48" i="311"/>
  <c r="N48" i="311"/>
  <c r="M48" i="311"/>
  <c r="L48" i="311"/>
  <c r="K48" i="311"/>
  <c r="J48" i="311"/>
  <c r="I48" i="311"/>
  <c r="H48" i="311"/>
  <c r="G48" i="311"/>
  <c r="F48" i="311"/>
  <c r="BL47" i="311"/>
  <c r="BM47" i="311" s="1"/>
  <c r="BN47" i="311" s="1"/>
  <c r="BO47" i="311" s="1"/>
  <c r="BP47" i="311" s="1"/>
  <c r="BQ47" i="311" s="1"/>
  <c r="BR47" i="311" s="1"/>
  <c r="BI47" i="311"/>
  <c r="BJ47" i="311" s="1"/>
  <c r="BK47" i="311" s="1"/>
  <c r="BH47" i="311"/>
  <c r="BG47" i="311"/>
  <c r="AY47" i="311"/>
  <c r="AZ47" i="311" s="1"/>
  <c r="BA47" i="311" s="1"/>
  <c r="BB47" i="311" s="1"/>
  <c r="BC47" i="311" s="1"/>
  <c r="BD47" i="311" s="1"/>
  <c r="BE47" i="311" s="1"/>
  <c r="AX47" i="311"/>
  <c r="AR47" i="311"/>
  <c r="AD47" i="311"/>
  <c r="P47" i="311"/>
  <c r="BO46" i="311"/>
  <c r="BP46" i="311" s="1"/>
  <c r="BQ46" i="311" s="1"/>
  <c r="BR46" i="311" s="1"/>
  <c r="BG46" i="311"/>
  <c r="BH46" i="311" s="1"/>
  <c r="BI46" i="311" s="1"/>
  <c r="BJ46" i="311" s="1"/>
  <c r="BK46" i="311" s="1"/>
  <c r="BL46" i="311" s="1"/>
  <c r="BM46" i="311" s="1"/>
  <c r="BN46" i="311" s="1"/>
  <c r="AX46" i="311"/>
  <c r="AR46" i="311"/>
  <c r="AD46" i="311"/>
  <c r="BS45" i="311"/>
  <c r="BH45" i="311"/>
  <c r="BI45" i="311" s="1"/>
  <c r="BJ45" i="311" s="1"/>
  <c r="BK45" i="311" s="1"/>
  <c r="BL45" i="311" s="1"/>
  <c r="BM45" i="311" s="1"/>
  <c r="BN45" i="311" s="1"/>
  <c r="BO45" i="311" s="1"/>
  <c r="BP45" i="311" s="1"/>
  <c r="BQ45" i="311" s="1"/>
  <c r="BR45" i="311" s="1"/>
  <c r="BG45" i="311"/>
  <c r="BF45" i="311"/>
  <c r="AS45" i="311"/>
  <c r="AF45" i="311"/>
  <c r="AE45" i="311"/>
  <c r="R45" i="311"/>
  <c r="Q45" i="311"/>
  <c r="E45" i="311"/>
  <c r="D45" i="311"/>
  <c r="BK44" i="311"/>
  <c r="BL44" i="311" s="1"/>
  <c r="BM44" i="311" s="1"/>
  <c r="BN44" i="311" s="1"/>
  <c r="BO44" i="311" s="1"/>
  <c r="BP44" i="311" s="1"/>
  <c r="BQ44" i="311" s="1"/>
  <c r="BR44" i="311" s="1"/>
  <c r="BG44" i="311"/>
  <c r="BH44" i="311" s="1"/>
  <c r="BI44" i="311" s="1"/>
  <c r="BJ44" i="311" s="1"/>
  <c r="AX44" i="311"/>
  <c r="AY44" i="311" s="1"/>
  <c r="AZ44" i="311" s="1"/>
  <c r="BA44" i="311" s="1"/>
  <c r="BB44" i="311" s="1"/>
  <c r="BC44" i="311" s="1"/>
  <c r="BD44" i="311" s="1"/>
  <c r="BE44" i="311" s="1"/>
  <c r="AR44" i="311"/>
  <c r="AD44" i="311"/>
  <c r="P44" i="311"/>
  <c r="BI43" i="311"/>
  <c r="BJ43" i="311" s="1"/>
  <c r="BK43" i="311" s="1"/>
  <c r="BL43" i="311" s="1"/>
  <c r="BM43" i="311" s="1"/>
  <c r="BN43" i="311" s="1"/>
  <c r="BO43" i="311" s="1"/>
  <c r="BP43" i="311" s="1"/>
  <c r="BQ43" i="311" s="1"/>
  <c r="BR43" i="311" s="1"/>
  <c r="BH43" i="311"/>
  <c r="BG43" i="311"/>
  <c r="AV43" i="311"/>
  <c r="AR43" i="311"/>
  <c r="AD43" i="311"/>
  <c r="G43" i="311"/>
  <c r="F43" i="311"/>
  <c r="BH42" i="311"/>
  <c r="BI42" i="311" s="1"/>
  <c r="BJ42" i="311" s="1"/>
  <c r="BK42" i="311" s="1"/>
  <c r="BL42" i="311" s="1"/>
  <c r="BM42" i="311" s="1"/>
  <c r="BN42" i="311" s="1"/>
  <c r="BO42" i="311" s="1"/>
  <c r="BP42" i="311" s="1"/>
  <c r="BQ42" i="311" s="1"/>
  <c r="BR42" i="311" s="1"/>
  <c r="BG42" i="311"/>
  <c r="AV42" i="311"/>
  <c r="AR42" i="311"/>
  <c r="V42" i="311"/>
  <c r="U42" i="311"/>
  <c r="T42" i="311"/>
  <c r="S42" i="311"/>
  <c r="P42" i="311"/>
  <c r="BG41" i="311"/>
  <c r="BH41" i="311" s="1"/>
  <c r="BI41" i="311" s="1"/>
  <c r="BJ41" i="311" s="1"/>
  <c r="BK41" i="311" s="1"/>
  <c r="BL41" i="311" s="1"/>
  <c r="BM41" i="311" s="1"/>
  <c r="BN41" i="311" s="1"/>
  <c r="BO41" i="311" s="1"/>
  <c r="BP41" i="311" s="1"/>
  <c r="BQ41" i="311" s="1"/>
  <c r="BR41" i="311" s="1"/>
  <c r="BB41" i="311"/>
  <c r="BC41" i="311" s="1"/>
  <c r="BD41" i="311" s="1"/>
  <c r="BE41" i="311" s="1"/>
  <c r="AX41" i="311"/>
  <c r="AY41" i="311" s="1"/>
  <c r="AZ41" i="311" s="1"/>
  <c r="BA41" i="311" s="1"/>
  <c r="AR41" i="311"/>
  <c r="AD41" i="311"/>
  <c r="P41" i="311"/>
  <c r="BI40" i="311"/>
  <c r="BJ40" i="311" s="1"/>
  <c r="BK40" i="311" s="1"/>
  <c r="BL40" i="311" s="1"/>
  <c r="BM40" i="311" s="1"/>
  <c r="BN40" i="311" s="1"/>
  <c r="BO40" i="311" s="1"/>
  <c r="BP40" i="311" s="1"/>
  <c r="BQ40" i="311" s="1"/>
  <c r="BR40" i="311" s="1"/>
  <c r="BH40" i="311"/>
  <c r="BG40" i="311"/>
  <c r="AX40" i="311"/>
  <c r="AY40" i="311" s="1"/>
  <c r="AZ40" i="311" s="1"/>
  <c r="BA40" i="311" s="1"/>
  <c r="BB40" i="311" s="1"/>
  <c r="BC40" i="311" s="1"/>
  <c r="BD40" i="311" s="1"/>
  <c r="BE40" i="311" s="1"/>
  <c r="AR40" i="311"/>
  <c r="AD40" i="311"/>
  <c r="P40" i="311"/>
  <c r="BH39" i="311"/>
  <c r="BI39" i="311" s="1"/>
  <c r="BJ39" i="311" s="1"/>
  <c r="BK39" i="311" s="1"/>
  <c r="BL39" i="311" s="1"/>
  <c r="BM39" i="311" s="1"/>
  <c r="BN39" i="311" s="1"/>
  <c r="BO39" i="311" s="1"/>
  <c r="BP39" i="311" s="1"/>
  <c r="BQ39" i="311" s="1"/>
  <c r="BR39" i="311" s="1"/>
  <c r="BG39" i="311"/>
  <c r="AU39" i="311"/>
  <c r="AI39" i="311"/>
  <c r="AJ39" i="311" s="1"/>
  <c r="AH39" i="311"/>
  <c r="S39" i="311"/>
  <c r="G39" i="311"/>
  <c r="F39" i="311"/>
  <c r="BG38" i="311"/>
  <c r="BH38" i="311" s="1"/>
  <c r="BI38" i="311" s="1"/>
  <c r="BJ38" i="311" s="1"/>
  <c r="BK38" i="311" s="1"/>
  <c r="BL38" i="311" s="1"/>
  <c r="BM38" i="311" s="1"/>
  <c r="BN38" i="311" s="1"/>
  <c r="BO38" i="311" s="1"/>
  <c r="BP38" i="311" s="1"/>
  <c r="BQ38" i="311" s="1"/>
  <c r="BR38" i="311" s="1"/>
  <c r="BC38" i="311"/>
  <c r="BD38" i="311" s="1"/>
  <c r="BE38" i="311" s="1"/>
  <c r="AX38" i="311"/>
  <c r="AY38" i="311" s="1"/>
  <c r="AZ38" i="311" s="1"/>
  <c r="BA38" i="311" s="1"/>
  <c r="BB38" i="311" s="1"/>
  <c r="AR38" i="311"/>
  <c r="AD38" i="311"/>
  <c r="P38" i="311"/>
  <c r="BG37" i="311"/>
  <c r="BH37" i="311" s="1"/>
  <c r="BI37" i="311" s="1"/>
  <c r="BJ37" i="311" s="1"/>
  <c r="BK37" i="311" s="1"/>
  <c r="BL37" i="311" s="1"/>
  <c r="BM37" i="311" s="1"/>
  <c r="BN37" i="311" s="1"/>
  <c r="BO37" i="311" s="1"/>
  <c r="BP37" i="311" s="1"/>
  <c r="BQ37" i="311" s="1"/>
  <c r="BR37" i="311" s="1"/>
  <c r="AX37" i="311"/>
  <c r="AY37" i="311" s="1"/>
  <c r="AZ37" i="311" s="1"/>
  <c r="BA37" i="311" s="1"/>
  <c r="BB37" i="311" s="1"/>
  <c r="BC37" i="311" s="1"/>
  <c r="BD37" i="311" s="1"/>
  <c r="BE37" i="311" s="1"/>
  <c r="AR37" i="311"/>
  <c r="AD37" i="311"/>
  <c r="P37" i="311"/>
  <c r="BJ36" i="311"/>
  <c r="BK36" i="311" s="1"/>
  <c r="BL36" i="311" s="1"/>
  <c r="BM36" i="311" s="1"/>
  <c r="BN36" i="311" s="1"/>
  <c r="BO36" i="311" s="1"/>
  <c r="BP36" i="311" s="1"/>
  <c r="BQ36" i="311" s="1"/>
  <c r="BR36" i="311" s="1"/>
  <c r="BI36" i="311"/>
  <c r="BH36" i="311"/>
  <c r="BG36" i="311"/>
  <c r="AW36" i="311"/>
  <c r="AV36" i="311"/>
  <c r="AR36" i="311"/>
  <c r="AD36" i="311"/>
  <c r="BJ35" i="311"/>
  <c r="BK35" i="311" s="1"/>
  <c r="BL35" i="311" s="1"/>
  <c r="BM35" i="311" s="1"/>
  <c r="BN35" i="311" s="1"/>
  <c r="BO35" i="311" s="1"/>
  <c r="BP35" i="311" s="1"/>
  <c r="BQ35" i="311" s="1"/>
  <c r="BR35" i="311" s="1"/>
  <c r="BG35" i="311"/>
  <c r="BH35" i="311" s="1"/>
  <c r="BI35" i="311" s="1"/>
  <c r="AX35" i="311"/>
  <c r="AY35" i="311" s="1"/>
  <c r="AZ35" i="311" s="1"/>
  <c r="BA35" i="311" s="1"/>
  <c r="BB35" i="311" s="1"/>
  <c r="BC35" i="311" s="1"/>
  <c r="BD35" i="311" s="1"/>
  <c r="BE35" i="311" s="1"/>
  <c r="AR35" i="311"/>
  <c r="AD35" i="311"/>
  <c r="P35" i="311"/>
  <c r="BH34" i="311"/>
  <c r="BI34" i="311" s="1"/>
  <c r="BJ34" i="311" s="1"/>
  <c r="BK34" i="311" s="1"/>
  <c r="BL34" i="311" s="1"/>
  <c r="BM34" i="311" s="1"/>
  <c r="BN34" i="311" s="1"/>
  <c r="BO34" i="311" s="1"/>
  <c r="BP34" i="311" s="1"/>
  <c r="BQ34" i="311" s="1"/>
  <c r="BR34" i="311" s="1"/>
  <c r="BG34" i="311"/>
  <c r="AZ34" i="311"/>
  <c r="BA34" i="311" s="1"/>
  <c r="BB34" i="311" s="1"/>
  <c r="BC34" i="311" s="1"/>
  <c r="BD34" i="311" s="1"/>
  <c r="BE34" i="311" s="1"/>
  <c r="AY34" i="311"/>
  <c r="AX34" i="311"/>
  <c r="AG34" i="311"/>
  <c r="X34" i="311"/>
  <c r="V34" i="311"/>
  <c r="U34" i="311"/>
  <c r="P34" i="311"/>
  <c r="BH33" i="311"/>
  <c r="BI33" i="311" s="1"/>
  <c r="BJ33" i="311" s="1"/>
  <c r="BK33" i="311" s="1"/>
  <c r="BL33" i="311" s="1"/>
  <c r="BM33" i="311" s="1"/>
  <c r="BN33" i="311" s="1"/>
  <c r="BO33" i="311" s="1"/>
  <c r="BP33" i="311" s="1"/>
  <c r="BQ33" i="311" s="1"/>
  <c r="BR33" i="311" s="1"/>
  <c r="BG33" i="311"/>
  <c r="AZ33" i="311"/>
  <c r="BA33" i="311" s="1"/>
  <c r="BB33" i="311" s="1"/>
  <c r="BC33" i="311" s="1"/>
  <c r="BD33" i="311" s="1"/>
  <c r="BE33" i="311" s="1"/>
  <c r="AY33" i="311"/>
  <c r="AX33" i="311"/>
  <c r="AR33" i="311"/>
  <c r="AD33" i="311"/>
  <c r="P33" i="311"/>
  <c r="BG32" i="311"/>
  <c r="BH32" i="311" s="1"/>
  <c r="BI32" i="311" s="1"/>
  <c r="BJ32" i="311" s="1"/>
  <c r="BK32" i="311" s="1"/>
  <c r="BL32" i="311" s="1"/>
  <c r="BM32" i="311" s="1"/>
  <c r="BN32" i="311" s="1"/>
  <c r="BO32" i="311" s="1"/>
  <c r="BP32" i="311" s="1"/>
  <c r="BQ32" i="311" s="1"/>
  <c r="BR32" i="311" s="1"/>
  <c r="BC32" i="311"/>
  <c r="BD32" i="311" s="1"/>
  <c r="BE32" i="311" s="1"/>
  <c r="AX32" i="311"/>
  <c r="AY32" i="311" s="1"/>
  <c r="AZ32" i="311" s="1"/>
  <c r="BA32" i="311" s="1"/>
  <c r="BB32" i="311" s="1"/>
  <c r="AR32" i="311"/>
  <c r="AD32" i="311"/>
  <c r="P32" i="311"/>
  <c r="BG31" i="311"/>
  <c r="BH31" i="311" s="1"/>
  <c r="BI31" i="311" s="1"/>
  <c r="BJ31" i="311" s="1"/>
  <c r="BK31" i="311" s="1"/>
  <c r="BL31" i="311" s="1"/>
  <c r="BM31" i="311" s="1"/>
  <c r="BN31" i="311" s="1"/>
  <c r="BO31" i="311" s="1"/>
  <c r="BP31" i="311" s="1"/>
  <c r="BQ31" i="311" s="1"/>
  <c r="BR31" i="311" s="1"/>
  <c r="AX31" i="311"/>
  <c r="AY31" i="311" s="1"/>
  <c r="AZ31" i="311" s="1"/>
  <c r="BA31" i="311" s="1"/>
  <c r="BB31" i="311" s="1"/>
  <c r="BC31" i="311" s="1"/>
  <c r="BD31" i="311" s="1"/>
  <c r="BE31" i="311" s="1"/>
  <c r="AR31" i="311"/>
  <c r="AD31" i="311"/>
  <c r="P31" i="311"/>
  <c r="BJ30" i="311"/>
  <c r="BK30" i="311" s="1"/>
  <c r="BL30" i="311" s="1"/>
  <c r="BM30" i="311" s="1"/>
  <c r="BN30" i="311" s="1"/>
  <c r="BO30" i="311" s="1"/>
  <c r="BP30" i="311" s="1"/>
  <c r="BQ30" i="311" s="1"/>
  <c r="BR30" i="311" s="1"/>
  <c r="BI30" i="311"/>
  <c r="BH30" i="311"/>
  <c r="BG30" i="311"/>
  <c r="BE30" i="311"/>
  <c r="AZ30" i="311"/>
  <c r="BA30" i="311" s="1"/>
  <c r="BB30" i="311" s="1"/>
  <c r="BC30" i="311" s="1"/>
  <c r="BD30" i="311" s="1"/>
  <c r="AY30" i="311"/>
  <c r="AX30" i="311"/>
  <c r="AR30" i="311"/>
  <c r="AD30" i="311"/>
  <c r="P30" i="311"/>
  <c r="BL29" i="311"/>
  <c r="BM29" i="311" s="1"/>
  <c r="BN29" i="311" s="1"/>
  <c r="BO29" i="311" s="1"/>
  <c r="BP29" i="311" s="1"/>
  <c r="BQ29" i="311" s="1"/>
  <c r="BR29" i="311" s="1"/>
  <c r="BH29" i="311"/>
  <c r="BI29" i="311" s="1"/>
  <c r="BJ29" i="311" s="1"/>
  <c r="BK29" i="311" s="1"/>
  <c r="BG29" i="311"/>
  <c r="AY29" i="311"/>
  <c r="AZ29" i="311" s="1"/>
  <c r="BA29" i="311" s="1"/>
  <c r="BB29" i="311" s="1"/>
  <c r="BC29" i="311" s="1"/>
  <c r="BD29" i="311" s="1"/>
  <c r="BE29" i="311" s="1"/>
  <c r="AX29" i="311"/>
  <c r="AR29" i="311"/>
  <c r="AD29" i="311"/>
  <c r="P29" i="311"/>
  <c r="BS28" i="311"/>
  <c r="BS49" i="311" s="1"/>
  <c r="BH28" i="311"/>
  <c r="BI28" i="311" s="1"/>
  <c r="BJ28" i="311" s="1"/>
  <c r="BK28" i="311" s="1"/>
  <c r="BL28" i="311" s="1"/>
  <c r="BM28" i="311" s="1"/>
  <c r="BN28" i="311" s="1"/>
  <c r="BO28" i="311" s="1"/>
  <c r="BP28" i="311" s="1"/>
  <c r="BQ28" i="311" s="1"/>
  <c r="BR28" i="311" s="1"/>
  <c r="BG28" i="311"/>
  <c r="BF28" i="311"/>
  <c r="BF49" i="311" s="1"/>
  <c r="AW28" i="311"/>
  <c r="AV28" i="311"/>
  <c r="AU28" i="311"/>
  <c r="AS28" i="311"/>
  <c r="AS49" i="311" s="1"/>
  <c r="AQ28" i="311"/>
  <c r="AP28" i="311"/>
  <c r="AO28" i="311"/>
  <c r="AN28" i="311"/>
  <c r="AM28" i="311"/>
  <c r="AL28" i="311"/>
  <c r="AK28" i="311"/>
  <c r="AJ28" i="311"/>
  <c r="AI28" i="311"/>
  <c r="AH28" i="311"/>
  <c r="AG28" i="311"/>
  <c r="AF28" i="311"/>
  <c r="AR28" i="311" s="1"/>
  <c r="AE28" i="311"/>
  <c r="AC28" i="311"/>
  <c r="AB28" i="311"/>
  <c r="AA28" i="311"/>
  <c r="Z28" i="311"/>
  <c r="Y28" i="311"/>
  <c r="X28" i="311"/>
  <c r="W28" i="311"/>
  <c r="V28" i="311"/>
  <c r="T28" i="311"/>
  <c r="S28" i="311"/>
  <c r="R28" i="311"/>
  <c r="Q28" i="311"/>
  <c r="O28" i="311"/>
  <c r="N28" i="311"/>
  <c r="M28" i="311"/>
  <c r="L28" i="311"/>
  <c r="K28" i="311"/>
  <c r="J28" i="311"/>
  <c r="I28" i="311"/>
  <c r="H28" i="311"/>
  <c r="G28" i="311"/>
  <c r="F28" i="311"/>
  <c r="E28" i="311"/>
  <c r="D28" i="311"/>
  <c r="P28" i="311" s="1"/>
  <c r="BK27" i="311"/>
  <c r="BL27" i="311" s="1"/>
  <c r="BM27" i="311" s="1"/>
  <c r="BN27" i="311" s="1"/>
  <c r="BO27" i="311" s="1"/>
  <c r="BP27" i="311" s="1"/>
  <c r="BQ27" i="311" s="1"/>
  <c r="BR27" i="311" s="1"/>
  <c r="BJ27" i="311"/>
  <c r="BG27" i="311"/>
  <c r="BH27" i="311" s="1"/>
  <c r="BI27" i="311" s="1"/>
  <c r="BA27" i="311"/>
  <c r="BB27" i="311" s="1"/>
  <c r="BC27" i="311" s="1"/>
  <c r="BD27" i="311" s="1"/>
  <c r="BE27" i="311" s="1"/>
  <c r="AX27" i="311"/>
  <c r="AY27" i="311" s="1"/>
  <c r="AZ27" i="311" s="1"/>
  <c r="AR27" i="311"/>
  <c r="AD27" i="311"/>
  <c r="P27" i="311"/>
  <c r="BG26" i="311"/>
  <c r="BH26" i="311" s="1"/>
  <c r="BI26" i="311" s="1"/>
  <c r="BJ26" i="311" s="1"/>
  <c r="BK26" i="311" s="1"/>
  <c r="BL26" i="311" s="1"/>
  <c r="BM26" i="311" s="1"/>
  <c r="BN26" i="311" s="1"/>
  <c r="BO26" i="311" s="1"/>
  <c r="BP26" i="311" s="1"/>
  <c r="BQ26" i="311" s="1"/>
  <c r="BR26" i="311" s="1"/>
  <c r="AX26" i="311"/>
  <c r="AY26" i="311" s="1"/>
  <c r="AZ26" i="311" s="1"/>
  <c r="BA26" i="311" s="1"/>
  <c r="BB26" i="311" s="1"/>
  <c r="BC26" i="311" s="1"/>
  <c r="BD26" i="311" s="1"/>
  <c r="BE26" i="311" s="1"/>
  <c r="AR26" i="311"/>
  <c r="AD26" i="311"/>
  <c r="W26" i="311"/>
  <c r="U26" i="311"/>
  <c r="U28" i="311" s="1"/>
  <c r="P26" i="311"/>
  <c r="AJ23" i="311"/>
  <c r="AJ22" i="311"/>
  <c r="BS21" i="311"/>
  <c r="BS54" i="311" s="1"/>
  <c r="BF21" i="311"/>
  <c r="AW21" i="311"/>
  <c r="AS21" i="311"/>
  <c r="AS54" i="311" s="1"/>
  <c r="AN21" i="311"/>
  <c r="AN54" i="311" s="1"/>
  <c r="AG21" i="311"/>
  <c r="AG54" i="311" s="1"/>
  <c r="AF21" i="311"/>
  <c r="AC21" i="311"/>
  <c r="AC54" i="311" s="1"/>
  <c r="X21" i="311"/>
  <c r="X54" i="311" s="1"/>
  <c r="L21" i="311"/>
  <c r="BH20" i="311"/>
  <c r="BI20" i="311" s="1"/>
  <c r="BJ20" i="311" s="1"/>
  <c r="BK20" i="311" s="1"/>
  <c r="BL20" i="311" s="1"/>
  <c r="BM20" i="311" s="1"/>
  <c r="BN20" i="311" s="1"/>
  <c r="BO20" i="311" s="1"/>
  <c r="BP20" i="311" s="1"/>
  <c r="BQ20" i="311" s="1"/>
  <c r="BR20" i="311" s="1"/>
  <c r="BG20" i="311"/>
  <c r="AZ20" i="311"/>
  <c r="BA20" i="311" s="1"/>
  <c r="BB20" i="311" s="1"/>
  <c r="BC20" i="311" s="1"/>
  <c r="BD20" i="311" s="1"/>
  <c r="BE20" i="311" s="1"/>
  <c r="AY20" i="311"/>
  <c r="AD20" i="311"/>
  <c r="P20" i="311"/>
  <c r="BJ19" i="311"/>
  <c r="BK19" i="311" s="1"/>
  <c r="BL19" i="311" s="1"/>
  <c r="BM19" i="311" s="1"/>
  <c r="BN19" i="311" s="1"/>
  <c r="BO19" i="311" s="1"/>
  <c r="BP19" i="311" s="1"/>
  <c r="BQ19" i="311" s="1"/>
  <c r="BR19" i="311" s="1"/>
  <c r="BI19" i="311"/>
  <c r="BH19" i="311"/>
  <c r="BG19" i="311"/>
  <c r="BE19" i="311"/>
  <c r="AX19" i="311"/>
  <c r="AY19" i="311" s="1"/>
  <c r="AZ19" i="311" s="1"/>
  <c r="BA19" i="311" s="1"/>
  <c r="BB19" i="311" s="1"/>
  <c r="BC19" i="311" s="1"/>
  <c r="BD19" i="311" s="1"/>
  <c r="AR19" i="311"/>
  <c r="AD19" i="311"/>
  <c r="P19" i="311"/>
  <c r="BI18" i="311"/>
  <c r="BJ18" i="311" s="1"/>
  <c r="BK18" i="311" s="1"/>
  <c r="BL18" i="311" s="1"/>
  <c r="BM18" i="311" s="1"/>
  <c r="BN18" i="311" s="1"/>
  <c r="BO18" i="311" s="1"/>
  <c r="BP18" i="311" s="1"/>
  <c r="BQ18" i="311" s="1"/>
  <c r="BR18" i="311" s="1"/>
  <c r="BH18" i="311"/>
  <c r="BG18" i="311"/>
  <c r="AW18" i="311"/>
  <c r="AV18" i="311"/>
  <c r="AU18" i="311"/>
  <c r="AS18" i="311"/>
  <c r="AQ18" i="311"/>
  <c r="AQ21" i="311" s="1"/>
  <c r="AQ54" i="311" s="1"/>
  <c r="AD18" i="311"/>
  <c r="AC18" i="311"/>
  <c r="S18" i="311"/>
  <c r="S21" i="311" s="1"/>
  <c r="S54" i="311" s="1"/>
  <c r="Q18" i="311"/>
  <c r="P18" i="311"/>
  <c r="BK17" i="311"/>
  <c r="BL17" i="311" s="1"/>
  <c r="BM17" i="311" s="1"/>
  <c r="BN17" i="311" s="1"/>
  <c r="BO17" i="311" s="1"/>
  <c r="BP17" i="311" s="1"/>
  <c r="BQ17" i="311" s="1"/>
  <c r="BR17" i="311" s="1"/>
  <c r="BG17" i="311"/>
  <c r="BH17" i="311" s="1"/>
  <c r="BI17" i="311" s="1"/>
  <c r="BJ17" i="311" s="1"/>
  <c r="BF17" i="311"/>
  <c r="AY17" i="311"/>
  <c r="AZ17" i="311" s="1"/>
  <c r="BA17" i="311" s="1"/>
  <c r="BB17" i="311" s="1"/>
  <c r="BC17" i="311" s="1"/>
  <c r="BD17" i="311" s="1"/>
  <c r="BE17" i="311" s="1"/>
  <c r="AX17" i="311"/>
  <c r="AS17" i="311"/>
  <c r="AP17" i="311"/>
  <c r="AO17" i="311"/>
  <c r="AN17" i="311"/>
  <c r="AM17" i="311"/>
  <c r="AL17" i="311"/>
  <c r="AL21" i="311" s="1"/>
  <c r="AL54" i="311" s="1"/>
  <c r="AK17" i="311"/>
  <c r="AJ17" i="311"/>
  <c r="AI17" i="311"/>
  <c r="AH17" i="311"/>
  <c r="AR17" i="311" s="1"/>
  <c r="AG17" i="311"/>
  <c r="AF17" i="311"/>
  <c r="AE17" i="311"/>
  <c r="AE21" i="311" s="1"/>
  <c r="AE54" i="311" s="1"/>
  <c r="AC17" i="311"/>
  <c r="AB17" i="311"/>
  <c r="AA17" i="311"/>
  <c r="Z17" i="311"/>
  <c r="Y17" i="311"/>
  <c r="X17" i="311"/>
  <c r="W17" i="311"/>
  <c r="V17" i="311"/>
  <c r="V21" i="311" s="1"/>
  <c r="V54" i="311" s="1"/>
  <c r="U17" i="311"/>
  <c r="T17" i="311"/>
  <c r="R17" i="311"/>
  <c r="R21" i="311" s="1"/>
  <c r="R54" i="311" s="1"/>
  <c r="Q17" i="311"/>
  <c r="P17" i="311" s="1"/>
  <c r="O17" i="311"/>
  <c r="O21" i="311" s="1"/>
  <c r="N17" i="311"/>
  <c r="N21" i="311" s="1"/>
  <c r="M17" i="311"/>
  <c r="M21" i="311" s="1"/>
  <c r="L17" i="311"/>
  <c r="K17" i="311"/>
  <c r="K21" i="311" s="1"/>
  <c r="BI16" i="311"/>
  <c r="BJ16" i="311" s="1"/>
  <c r="BK16" i="311" s="1"/>
  <c r="BL16" i="311" s="1"/>
  <c r="BM16" i="311" s="1"/>
  <c r="BN16" i="311" s="1"/>
  <c r="BO16" i="311" s="1"/>
  <c r="BP16" i="311" s="1"/>
  <c r="BQ16" i="311" s="1"/>
  <c r="BR16" i="311" s="1"/>
  <c r="BH16" i="311"/>
  <c r="BG16" i="311"/>
  <c r="AZ16" i="311"/>
  <c r="BA16" i="311" s="1"/>
  <c r="BB16" i="311" s="1"/>
  <c r="BC16" i="311" s="1"/>
  <c r="BD16" i="311" s="1"/>
  <c r="BE16" i="311" s="1"/>
  <c r="AR16" i="311"/>
  <c r="AD16" i="311"/>
  <c r="P16" i="311"/>
  <c r="BK15" i="311"/>
  <c r="BL15" i="311" s="1"/>
  <c r="BM15" i="311" s="1"/>
  <c r="BN15" i="311" s="1"/>
  <c r="BO15" i="311" s="1"/>
  <c r="BP15" i="311" s="1"/>
  <c r="BQ15" i="311" s="1"/>
  <c r="BR15" i="311" s="1"/>
  <c r="BJ15" i="311"/>
  <c r="BG15" i="311"/>
  <c r="BH15" i="311" s="1"/>
  <c r="BI15" i="311" s="1"/>
  <c r="BA15" i="311"/>
  <c r="BB15" i="311" s="1"/>
  <c r="BC15" i="311" s="1"/>
  <c r="BD15" i="311" s="1"/>
  <c r="BE15" i="311" s="1"/>
  <c r="AX15" i="311"/>
  <c r="AY15" i="311" s="1"/>
  <c r="AZ15" i="311" s="1"/>
  <c r="AR15" i="311"/>
  <c r="AD15" i="311"/>
  <c r="P15" i="311"/>
  <c r="BG14" i="311"/>
  <c r="BH14" i="311" s="1"/>
  <c r="BI14" i="311" s="1"/>
  <c r="BJ14" i="311" s="1"/>
  <c r="BK14" i="311" s="1"/>
  <c r="BL14" i="311" s="1"/>
  <c r="BM14" i="311" s="1"/>
  <c r="BN14" i="311" s="1"/>
  <c r="BO14" i="311" s="1"/>
  <c r="BP14" i="311" s="1"/>
  <c r="BQ14" i="311" s="1"/>
  <c r="BR14" i="311" s="1"/>
  <c r="AV14" i="311"/>
  <c r="AR14" i="311"/>
  <c r="AD14" i="311"/>
  <c r="P14" i="311"/>
  <c r="BJ13" i="311"/>
  <c r="BK13" i="311" s="1"/>
  <c r="BL13" i="311" s="1"/>
  <c r="BM13" i="311" s="1"/>
  <c r="BN13" i="311" s="1"/>
  <c r="BO13" i="311" s="1"/>
  <c r="BP13" i="311" s="1"/>
  <c r="BQ13" i="311" s="1"/>
  <c r="BR13" i="311" s="1"/>
  <c r="BG13" i="311"/>
  <c r="BH13" i="311" s="1"/>
  <c r="BI13" i="311" s="1"/>
  <c r="AU13" i="311"/>
  <c r="AR13" i="311"/>
  <c r="AD13" i="311"/>
  <c r="P13" i="311"/>
  <c r="BI12" i="311"/>
  <c r="BJ12" i="311" s="1"/>
  <c r="BK12" i="311" s="1"/>
  <c r="BL12" i="311" s="1"/>
  <c r="BM12" i="311" s="1"/>
  <c r="BN12" i="311" s="1"/>
  <c r="BO12" i="311" s="1"/>
  <c r="BP12" i="311" s="1"/>
  <c r="BQ12" i="311" s="1"/>
  <c r="BR12" i="311" s="1"/>
  <c r="BG12" i="311"/>
  <c r="BH12" i="311" s="1"/>
  <c r="AX12" i="311"/>
  <c r="AY12" i="311" s="1"/>
  <c r="AZ12" i="311" s="1"/>
  <c r="BA12" i="311" s="1"/>
  <c r="BB12" i="311" s="1"/>
  <c r="BC12" i="311" s="1"/>
  <c r="BD12" i="311" s="1"/>
  <c r="BE12" i="311" s="1"/>
  <c r="AR12" i="311"/>
  <c r="AD12" i="311"/>
  <c r="P12" i="311"/>
  <c r="BM11" i="311"/>
  <c r="BN11" i="311" s="1"/>
  <c r="BO11" i="311" s="1"/>
  <c r="BP11" i="311" s="1"/>
  <c r="BQ11" i="311" s="1"/>
  <c r="BR11" i="311" s="1"/>
  <c r="BH11" i="311"/>
  <c r="BI11" i="311" s="1"/>
  <c r="BJ11" i="311" s="1"/>
  <c r="BK11" i="311" s="1"/>
  <c r="BL11" i="311" s="1"/>
  <c r="BG11" i="311"/>
  <c r="AY11" i="311"/>
  <c r="AZ11" i="311" s="1"/>
  <c r="BA11" i="311" s="1"/>
  <c r="BB11" i="311" s="1"/>
  <c r="BC11" i="311" s="1"/>
  <c r="BD11" i="311" s="1"/>
  <c r="BE11" i="311" s="1"/>
  <c r="AX11" i="311"/>
  <c r="AJ11" i="311"/>
  <c r="AI11" i="311"/>
  <c r="AH11" i="311"/>
  <c r="AF11" i="311"/>
  <c r="X11" i="311"/>
  <c r="T11" i="311"/>
  <c r="P11" i="311"/>
  <c r="BL10" i="311"/>
  <c r="BM10" i="311" s="1"/>
  <c r="BN10" i="311" s="1"/>
  <c r="BO10" i="311" s="1"/>
  <c r="BP10" i="311" s="1"/>
  <c r="BQ10" i="311" s="1"/>
  <c r="BR10" i="311" s="1"/>
  <c r="BG10" i="311"/>
  <c r="BH10" i="311" s="1"/>
  <c r="BI10" i="311" s="1"/>
  <c r="BJ10" i="311" s="1"/>
  <c r="BK10" i="311" s="1"/>
  <c r="AX10" i="311"/>
  <c r="AY10" i="311" s="1"/>
  <c r="AZ10" i="311" s="1"/>
  <c r="BA10" i="311" s="1"/>
  <c r="BB10" i="311" s="1"/>
  <c r="BC10" i="311" s="1"/>
  <c r="BD10" i="311" s="1"/>
  <c r="BE10" i="311" s="1"/>
  <c r="AR10" i="311"/>
  <c r="AD10" i="311"/>
  <c r="P10" i="311"/>
  <c r="BG9" i="311"/>
  <c r="BH9" i="311" s="1"/>
  <c r="BI9" i="311" s="1"/>
  <c r="BJ9" i="311" s="1"/>
  <c r="BK9" i="311" s="1"/>
  <c r="BL9" i="311" s="1"/>
  <c r="BM9" i="311" s="1"/>
  <c r="BN9" i="311" s="1"/>
  <c r="BO9" i="311" s="1"/>
  <c r="BP9" i="311" s="1"/>
  <c r="BQ9" i="311" s="1"/>
  <c r="BR9" i="311" s="1"/>
  <c r="AX9" i="311"/>
  <c r="AR9" i="311"/>
  <c r="AD9" i="311"/>
  <c r="P9" i="311"/>
  <c r="BJ8" i="311"/>
  <c r="BI8" i="311"/>
  <c r="BI53" i="311" s="1"/>
  <c r="BH8" i="311"/>
  <c r="BG8" i="311"/>
  <c r="AX8" i="311"/>
  <c r="AY8" i="311" s="1"/>
  <c r="AR8" i="311"/>
  <c r="AD8" i="311"/>
  <c r="P8" i="311"/>
  <c r="K53" i="310"/>
  <c r="F53" i="310"/>
  <c r="BS52" i="310"/>
  <c r="BF52" i="310"/>
  <c r="AW52" i="310"/>
  <c r="AT52" i="310"/>
  <c r="AQ52" i="310"/>
  <c r="AP52" i="310"/>
  <c r="AO52" i="310"/>
  <c r="AN52" i="310"/>
  <c r="AM52" i="310"/>
  <c r="AL52" i="310"/>
  <c r="AK52" i="310"/>
  <c r="AI52" i="310"/>
  <c r="AH52" i="310"/>
  <c r="AG52" i="310"/>
  <c r="AF52" i="310"/>
  <c r="AB52" i="310"/>
  <c r="AA52" i="310"/>
  <c r="Z52" i="310"/>
  <c r="Y52" i="310"/>
  <c r="X52" i="310"/>
  <c r="W52" i="310"/>
  <c r="V52" i="310"/>
  <c r="U52" i="310"/>
  <c r="T52" i="310"/>
  <c r="S52" i="310"/>
  <c r="R52" i="310"/>
  <c r="O52" i="310"/>
  <c r="N52" i="310"/>
  <c r="M52" i="310"/>
  <c r="L52" i="310"/>
  <c r="K52" i="310"/>
  <c r="J52" i="310"/>
  <c r="I52" i="310"/>
  <c r="H52" i="310"/>
  <c r="G52" i="310"/>
  <c r="F52" i="310"/>
  <c r="E52" i="310"/>
  <c r="D52" i="310"/>
  <c r="BS50" i="310"/>
  <c r="BF50" i="310"/>
  <c r="AE50" i="310"/>
  <c r="Q50" i="310"/>
  <c r="Q52" i="310" s="1"/>
  <c r="M48" i="310"/>
  <c r="D48" i="310"/>
  <c r="BG47" i="310"/>
  <c r="AT47" i="310"/>
  <c r="AG47" i="310"/>
  <c r="AF47" i="310"/>
  <c r="T47" i="310"/>
  <c r="U47" i="310" s="1"/>
  <c r="V47" i="310" s="1"/>
  <c r="W47" i="310" s="1"/>
  <c r="X47" i="310" s="1"/>
  <c r="Y47" i="310" s="1"/>
  <c r="Z47" i="310" s="1"/>
  <c r="AA47" i="310" s="1"/>
  <c r="AB47" i="310" s="1"/>
  <c r="AC47" i="310" s="1"/>
  <c r="S47" i="310"/>
  <c r="R47" i="310"/>
  <c r="O47" i="310"/>
  <c r="N47" i="310"/>
  <c r="M47" i="310"/>
  <c r="L47" i="310"/>
  <c r="K47" i="310"/>
  <c r="J47" i="310"/>
  <c r="I47" i="310"/>
  <c r="H47" i="310"/>
  <c r="G47" i="310"/>
  <c r="F47" i="310"/>
  <c r="E47" i="310"/>
  <c r="D47" i="310"/>
  <c r="BI46" i="310"/>
  <c r="BJ46" i="310" s="1"/>
  <c r="BK46" i="310" s="1"/>
  <c r="BL46" i="310" s="1"/>
  <c r="BM46" i="310" s="1"/>
  <c r="BN46" i="310" s="1"/>
  <c r="BO46" i="310" s="1"/>
  <c r="BP46" i="310" s="1"/>
  <c r="BQ46" i="310" s="1"/>
  <c r="BR46" i="310" s="1"/>
  <c r="BH46" i="310"/>
  <c r="BG46" i="310"/>
  <c r="AU46" i="310"/>
  <c r="AH46" i="310"/>
  <c r="AG46" i="310"/>
  <c r="S46" i="310"/>
  <c r="T46" i="310" s="1"/>
  <c r="U46" i="310" s="1"/>
  <c r="V46" i="310" s="1"/>
  <c r="W46" i="310" s="1"/>
  <c r="X46" i="310" s="1"/>
  <c r="Y46" i="310" s="1"/>
  <c r="Z46" i="310" s="1"/>
  <c r="AA46" i="310" s="1"/>
  <c r="AB46" i="310" s="1"/>
  <c r="AC46" i="310" s="1"/>
  <c r="BG45" i="310"/>
  <c r="BH45" i="310" s="1"/>
  <c r="BI45" i="310" s="1"/>
  <c r="BJ45" i="310" s="1"/>
  <c r="BK45" i="310" s="1"/>
  <c r="BL45" i="310" s="1"/>
  <c r="BM45" i="310" s="1"/>
  <c r="BN45" i="310" s="1"/>
  <c r="BO45" i="310" s="1"/>
  <c r="BP45" i="310" s="1"/>
  <c r="BQ45" i="310" s="1"/>
  <c r="BR45" i="310" s="1"/>
  <c r="AU45" i="310"/>
  <c r="AV45" i="310" s="1"/>
  <c r="AW45" i="310" s="1"/>
  <c r="AX45" i="310" s="1"/>
  <c r="AY45" i="310" s="1"/>
  <c r="AZ45" i="310" s="1"/>
  <c r="BA45" i="310" s="1"/>
  <c r="BB45" i="310" s="1"/>
  <c r="BC45" i="310" s="1"/>
  <c r="BD45" i="310" s="1"/>
  <c r="BE45" i="310" s="1"/>
  <c r="AG45" i="310"/>
  <c r="T45" i="310"/>
  <c r="U45" i="310" s="1"/>
  <c r="V45" i="310" s="1"/>
  <c r="W45" i="310" s="1"/>
  <c r="X45" i="310" s="1"/>
  <c r="Y45" i="310" s="1"/>
  <c r="Z45" i="310" s="1"/>
  <c r="AA45" i="310" s="1"/>
  <c r="AB45" i="310" s="1"/>
  <c r="AC45" i="310" s="1"/>
  <c r="S45" i="310"/>
  <c r="BS44" i="310"/>
  <c r="BI44" i="310"/>
  <c r="BJ44" i="310" s="1"/>
  <c r="BK44" i="310" s="1"/>
  <c r="BL44" i="310" s="1"/>
  <c r="BM44" i="310" s="1"/>
  <c r="BN44" i="310" s="1"/>
  <c r="BO44" i="310" s="1"/>
  <c r="BP44" i="310" s="1"/>
  <c r="BQ44" i="310" s="1"/>
  <c r="BR44" i="310" s="1"/>
  <c r="BG44" i="310"/>
  <c r="BH44" i="310" s="1"/>
  <c r="BF44" i="310"/>
  <c r="AS44" i="310"/>
  <c r="AE44" i="310"/>
  <c r="Z44" i="310"/>
  <c r="R44" i="310"/>
  <c r="Q44" i="310"/>
  <c r="O44" i="310"/>
  <c r="N44" i="310"/>
  <c r="M44" i="310"/>
  <c r="L44" i="310"/>
  <c r="K44" i="310"/>
  <c r="J44" i="310"/>
  <c r="I44" i="310"/>
  <c r="H44" i="310"/>
  <c r="G44" i="310"/>
  <c r="F44" i="310"/>
  <c r="E44" i="310"/>
  <c r="E48" i="310" s="1"/>
  <c r="D44" i="310"/>
  <c r="BI43" i="310"/>
  <c r="BJ43" i="310" s="1"/>
  <c r="BK43" i="310" s="1"/>
  <c r="BL43" i="310" s="1"/>
  <c r="BM43" i="310" s="1"/>
  <c r="BN43" i="310" s="1"/>
  <c r="BO43" i="310" s="1"/>
  <c r="BP43" i="310" s="1"/>
  <c r="BQ43" i="310" s="1"/>
  <c r="BR43" i="310" s="1"/>
  <c r="BH43" i="310"/>
  <c r="BG43" i="310"/>
  <c r="AY43" i="310"/>
  <c r="AZ43" i="310" s="1"/>
  <c r="BA43" i="310" s="1"/>
  <c r="BB43" i="310" s="1"/>
  <c r="BC43" i="310" s="1"/>
  <c r="BD43" i="310" s="1"/>
  <c r="BE43" i="310" s="1"/>
  <c r="AX43" i="310"/>
  <c r="AR43" i="310"/>
  <c r="AD43" i="310"/>
  <c r="P43" i="310"/>
  <c r="BG42" i="310"/>
  <c r="BH42" i="310" s="1"/>
  <c r="BI42" i="310" s="1"/>
  <c r="BJ42" i="310" s="1"/>
  <c r="BK42" i="310" s="1"/>
  <c r="BL42" i="310" s="1"/>
  <c r="BM42" i="310" s="1"/>
  <c r="BN42" i="310" s="1"/>
  <c r="BO42" i="310" s="1"/>
  <c r="BP42" i="310" s="1"/>
  <c r="BQ42" i="310" s="1"/>
  <c r="BR42" i="310" s="1"/>
  <c r="AT42" i="310"/>
  <c r="AF42" i="310"/>
  <c r="S42" i="310"/>
  <c r="P42" i="310"/>
  <c r="BG41" i="310"/>
  <c r="BH41" i="310" s="1"/>
  <c r="BI41" i="310" s="1"/>
  <c r="BJ41" i="310" s="1"/>
  <c r="BK41" i="310" s="1"/>
  <c r="BL41" i="310" s="1"/>
  <c r="BM41" i="310" s="1"/>
  <c r="BN41" i="310" s="1"/>
  <c r="BO41" i="310" s="1"/>
  <c r="BP41" i="310" s="1"/>
  <c r="BQ41" i="310" s="1"/>
  <c r="BR41" i="310" s="1"/>
  <c r="AX41" i="310"/>
  <c r="AY41" i="310" s="1"/>
  <c r="AZ41" i="310" s="1"/>
  <c r="BA41" i="310" s="1"/>
  <c r="BB41" i="310" s="1"/>
  <c r="BC41" i="310" s="1"/>
  <c r="BD41" i="310" s="1"/>
  <c r="BE41" i="310" s="1"/>
  <c r="AR41" i="310"/>
  <c r="AD41" i="310"/>
  <c r="P41" i="310"/>
  <c r="BG40" i="310"/>
  <c r="BH40" i="310" s="1"/>
  <c r="BI40" i="310" s="1"/>
  <c r="BJ40" i="310" s="1"/>
  <c r="BK40" i="310" s="1"/>
  <c r="BL40" i="310" s="1"/>
  <c r="BM40" i="310" s="1"/>
  <c r="BN40" i="310" s="1"/>
  <c r="BO40" i="310" s="1"/>
  <c r="BP40" i="310" s="1"/>
  <c r="BQ40" i="310" s="1"/>
  <c r="BR40" i="310" s="1"/>
  <c r="AT40" i="310"/>
  <c r="AH40" i="310"/>
  <c r="AG40" i="310"/>
  <c r="AF40" i="310"/>
  <c r="T40" i="310"/>
  <c r="S40" i="310"/>
  <c r="P40" i="310"/>
  <c r="BK39" i="310"/>
  <c r="BL39" i="310" s="1"/>
  <c r="BM39" i="310" s="1"/>
  <c r="BN39" i="310" s="1"/>
  <c r="BO39" i="310" s="1"/>
  <c r="BP39" i="310" s="1"/>
  <c r="BQ39" i="310" s="1"/>
  <c r="BR39" i="310" s="1"/>
  <c r="BG39" i="310"/>
  <c r="BH39" i="310" s="1"/>
  <c r="BI39" i="310" s="1"/>
  <c r="BJ39" i="310" s="1"/>
  <c r="AT39" i="310"/>
  <c r="AH39" i="310"/>
  <c r="AG39" i="310"/>
  <c r="AF39" i="310"/>
  <c r="S39" i="310"/>
  <c r="P39" i="310"/>
  <c r="BI38" i="310"/>
  <c r="BJ38" i="310" s="1"/>
  <c r="BK38" i="310" s="1"/>
  <c r="BL38" i="310" s="1"/>
  <c r="BM38" i="310" s="1"/>
  <c r="BN38" i="310" s="1"/>
  <c r="BO38" i="310" s="1"/>
  <c r="BP38" i="310" s="1"/>
  <c r="BQ38" i="310" s="1"/>
  <c r="BR38" i="310" s="1"/>
  <c r="BH38" i="310"/>
  <c r="BG38" i="310"/>
  <c r="AU38" i="310"/>
  <c r="AT38" i="310"/>
  <c r="AF38" i="310"/>
  <c r="T38" i="310"/>
  <c r="S38" i="310"/>
  <c r="P38" i="310"/>
  <c r="BI37" i="310"/>
  <c r="BJ37" i="310" s="1"/>
  <c r="BK37" i="310" s="1"/>
  <c r="BL37" i="310" s="1"/>
  <c r="BM37" i="310" s="1"/>
  <c r="BN37" i="310" s="1"/>
  <c r="BO37" i="310" s="1"/>
  <c r="BP37" i="310" s="1"/>
  <c r="BQ37" i="310" s="1"/>
  <c r="BR37" i="310" s="1"/>
  <c r="BG37" i="310"/>
  <c r="BH37" i="310" s="1"/>
  <c r="AT37" i="310"/>
  <c r="AU37" i="310" s="1"/>
  <c r="AF37" i="310"/>
  <c r="S37" i="310"/>
  <c r="P37" i="310"/>
  <c r="BG36" i="310"/>
  <c r="BH36" i="310" s="1"/>
  <c r="BI36" i="310" s="1"/>
  <c r="BJ36" i="310" s="1"/>
  <c r="BK36" i="310" s="1"/>
  <c r="BL36" i="310" s="1"/>
  <c r="BM36" i="310" s="1"/>
  <c r="BN36" i="310" s="1"/>
  <c r="BO36" i="310" s="1"/>
  <c r="BP36" i="310" s="1"/>
  <c r="BQ36" i="310" s="1"/>
  <c r="BR36" i="310" s="1"/>
  <c r="AX36" i="310"/>
  <c r="AY36" i="310" s="1"/>
  <c r="AZ36" i="310" s="1"/>
  <c r="BA36" i="310" s="1"/>
  <c r="BB36" i="310" s="1"/>
  <c r="BC36" i="310" s="1"/>
  <c r="BD36" i="310" s="1"/>
  <c r="BE36" i="310" s="1"/>
  <c r="AR36" i="310"/>
  <c r="AD36" i="310"/>
  <c r="P36" i="310"/>
  <c r="BG35" i="310"/>
  <c r="BH35" i="310" s="1"/>
  <c r="BI35" i="310" s="1"/>
  <c r="BJ35" i="310" s="1"/>
  <c r="BK35" i="310" s="1"/>
  <c r="BL35" i="310" s="1"/>
  <c r="BM35" i="310" s="1"/>
  <c r="BN35" i="310" s="1"/>
  <c r="BO35" i="310" s="1"/>
  <c r="BP35" i="310" s="1"/>
  <c r="BQ35" i="310" s="1"/>
  <c r="BR35" i="310" s="1"/>
  <c r="AV35" i="310"/>
  <c r="AT35" i="310"/>
  <c r="AU35" i="310" s="1"/>
  <c r="AF35" i="310"/>
  <c r="S35" i="310"/>
  <c r="P35" i="310"/>
  <c r="BH34" i="310"/>
  <c r="BI34" i="310" s="1"/>
  <c r="BJ34" i="310" s="1"/>
  <c r="BK34" i="310" s="1"/>
  <c r="BL34" i="310" s="1"/>
  <c r="BM34" i="310" s="1"/>
  <c r="BN34" i="310" s="1"/>
  <c r="BO34" i="310" s="1"/>
  <c r="BP34" i="310" s="1"/>
  <c r="BQ34" i="310" s="1"/>
  <c r="BR34" i="310" s="1"/>
  <c r="BG34" i="310"/>
  <c r="AT34" i="310"/>
  <c r="AF34" i="310"/>
  <c r="S34" i="310"/>
  <c r="P34" i="310"/>
  <c r="BI33" i="310"/>
  <c r="BJ33" i="310" s="1"/>
  <c r="BK33" i="310" s="1"/>
  <c r="BL33" i="310" s="1"/>
  <c r="BM33" i="310" s="1"/>
  <c r="BN33" i="310" s="1"/>
  <c r="BO33" i="310" s="1"/>
  <c r="BP33" i="310" s="1"/>
  <c r="BQ33" i="310" s="1"/>
  <c r="BR33" i="310" s="1"/>
  <c r="BG33" i="310"/>
  <c r="BH33" i="310" s="1"/>
  <c r="AY33" i="310"/>
  <c r="AZ33" i="310" s="1"/>
  <c r="BA33" i="310" s="1"/>
  <c r="BB33" i="310" s="1"/>
  <c r="BC33" i="310" s="1"/>
  <c r="BD33" i="310" s="1"/>
  <c r="BE33" i="310" s="1"/>
  <c r="AX33" i="310"/>
  <c r="AR33" i="310"/>
  <c r="AD33" i="310"/>
  <c r="P33" i="310"/>
  <c r="BH32" i="310"/>
  <c r="BI32" i="310" s="1"/>
  <c r="BJ32" i="310" s="1"/>
  <c r="BK32" i="310" s="1"/>
  <c r="BL32" i="310" s="1"/>
  <c r="BM32" i="310" s="1"/>
  <c r="BN32" i="310" s="1"/>
  <c r="BO32" i="310" s="1"/>
  <c r="BP32" i="310" s="1"/>
  <c r="BQ32" i="310" s="1"/>
  <c r="BR32" i="310" s="1"/>
  <c r="BG32" i="310"/>
  <c r="AU32" i="310"/>
  <c r="AT32" i="310"/>
  <c r="AF32" i="310"/>
  <c r="S32" i="310"/>
  <c r="P32" i="310"/>
  <c r="BH31" i="310"/>
  <c r="BI31" i="310" s="1"/>
  <c r="BJ31" i="310" s="1"/>
  <c r="BK31" i="310" s="1"/>
  <c r="BL31" i="310" s="1"/>
  <c r="BM31" i="310" s="1"/>
  <c r="BN31" i="310" s="1"/>
  <c r="BO31" i="310" s="1"/>
  <c r="BP31" i="310" s="1"/>
  <c r="BQ31" i="310" s="1"/>
  <c r="BR31" i="310" s="1"/>
  <c r="BG31" i="310"/>
  <c r="AT31" i="310"/>
  <c r="AG31" i="310"/>
  <c r="AF31" i="310"/>
  <c r="T31" i="310"/>
  <c r="S31" i="310"/>
  <c r="P31" i="310"/>
  <c r="BH30" i="310"/>
  <c r="BI30" i="310" s="1"/>
  <c r="BJ30" i="310" s="1"/>
  <c r="BK30" i="310" s="1"/>
  <c r="BL30" i="310" s="1"/>
  <c r="BM30" i="310" s="1"/>
  <c r="BN30" i="310" s="1"/>
  <c r="BO30" i="310" s="1"/>
  <c r="BP30" i="310" s="1"/>
  <c r="BQ30" i="310" s="1"/>
  <c r="BR30" i="310" s="1"/>
  <c r="BG30" i="310"/>
  <c r="AV30" i="310"/>
  <c r="AW30" i="310" s="1"/>
  <c r="AU30" i="310"/>
  <c r="AT30" i="310"/>
  <c r="AF30" i="310"/>
  <c r="T30" i="310"/>
  <c r="S30" i="310"/>
  <c r="P30" i="310"/>
  <c r="BG29" i="310"/>
  <c r="BH29" i="310" s="1"/>
  <c r="BI29" i="310" s="1"/>
  <c r="BJ29" i="310" s="1"/>
  <c r="BK29" i="310" s="1"/>
  <c r="BL29" i="310" s="1"/>
  <c r="BM29" i="310" s="1"/>
  <c r="BN29" i="310" s="1"/>
  <c r="BO29" i="310" s="1"/>
  <c r="BP29" i="310" s="1"/>
  <c r="BQ29" i="310" s="1"/>
  <c r="BR29" i="310" s="1"/>
  <c r="AV29" i="310"/>
  <c r="AT29" i="310"/>
  <c r="AU29" i="310" s="1"/>
  <c r="AF29" i="310"/>
  <c r="V29" i="310"/>
  <c r="T29" i="310"/>
  <c r="S29" i="310"/>
  <c r="P29" i="310"/>
  <c r="BS28" i="310"/>
  <c r="BS48" i="310" s="1"/>
  <c r="BF28" i="310"/>
  <c r="BF48" i="310" s="1"/>
  <c r="AW28" i="310"/>
  <c r="AV28" i="310"/>
  <c r="AU28" i="310"/>
  <c r="AT28" i="310"/>
  <c r="AS28" i="310"/>
  <c r="AQ28" i="310"/>
  <c r="AP28" i="310"/>
  <c r="AO28" i="310"/>
  <c r="AN28" i="310"/>
  <c r="AM28" i="310"/>
  <c r="AL28" i="310"/>
  <c r="AK28" i="310"/>
  <c r="AJ28" i="310"/>
  <c r="AI28" i="310"/>
  <c r="AH28" i="310"/>
  <c r="AG28" i="310"/>
  <c r="AF28" i="310"/>
  <c r="AR28" i="310" s="1"/>
  <c r="AE28" i="310"/>
  <c r="AE48" i="310" s="1"/>
  <c r="AC28" i="310"/>
  <c r="AB28" i="310"/>
  <c r="AA28" i="310"/>
  <c r="Z28" i="310"/>
  <c r="Z48" i="310" s="1"/>
  <c r="Y28" i="310"/>
  <c r="X28" i="310"/>
  <c r="W28" i="310"/>
  <c r="V28" i="310"/>
  <c r="U28" i="310"/>
  <c r="T28" i="310"/>
  <c r="S28" i="310"/>
  <c r="R28" i="310"/>
  <c r="AD28" i="310" s="1"/>
  <c r="Q28" i="310"/>
  <c r="O28" i="310"/>
  <c r="O48" i="310" s="1"/>
  <c r="N28" i="310"/>
  <c r="N48" i="310" s="1"/>
  <c r="M28" i="310"/>
  <c r="L28" i="310"/>
  <c r="L48" i="310" s="1"/>
  <c r="K28" i="310"/>
  <c r="K48" i="310" s="1"/>
  <c r="J28" i="310"/>
  <c r="J48" i="310" s="1"/>
  <c r="I28" i="310"/>
  <c r="H28" i="310"/>
  <c r="H48" i="310" s="1"/>
  <c r="G28" i="310"/>
  <c r="G48" i="310" s="1"/>
  <c r="F28" i="310"/>
  <c r="F48" i="310" s="1"/>
  <c r="E28" i="310"/>
  <c r="D28" i="310"/>
  <c r="BG27" i="310"/>
  <c r="BH27" i="310" s="1"/>
  <c r="BI27" i="310" s="1"/>
  <c r="BJ27" i="310" s="1"/>
  <c r="BK27" i="310" s="1"/>
  <c r="BL27" i="310" s="1"/>
  <c r="BM27" i="310" s="1"/>
  <c r="BN27" i="310" s="1"/>
  <c r="BO27" i="310" s="1"/>
  <c r="BP27" i="310" s="1"/>
  <c r="BQ27" i="310" s="1"/>
  <c r="BR27" i="310" s="1"/>
  <c r="AX27" i="310"/>
  <c r="AY27" i="310" s="1"/>
  <c r="AZ27" i="310" s="1"/>
  <c r="BA27" i="310" s="1"/>
  <c r="BB27" i="310" s="1"/>
  <c r="BC27" i="310" s="1"/>
  <c r="BD27" i="310" s="1"/>
  <c r="BE27" i="310" s="1"/>
  <c r="AR27" i="310"/>
  <c r="AD27" i="310"/>
  <c r="P27" i="310"/>
  <c r="BH26" i="310"/>
  <c r="BI26" i="310" s="1"/>
  <c r="BJ26" i="310" s="1"/>
  <c r="BK26" i="310" s="1"/>
  <c r="BL26" i="310" s="1"/>
  <c r="BM26" i="310" s="1"/>
  <c r="BN26" i="310" s="1"/>
  <c r="BO26" i="310" s="1"/>
  <c r="BP26" i="310" s="1"/>
  <c r="BQ26" i="310" s="1"/>
  <c r="BR26" i="310" s="1"/>
  <c r="BG26" i="310"/>
  <c r="AZ26" i="310"/>
  <c r="BA26" i="310" s="1"/>
  <c r="BB26" i="310" s="1"/>
  <c r="BC26" i="310" s="1"/>
  <c r="BD26" i="310" s="1"/>
  <c r="BE26" i="310" s="1"/>
  <c r="AY26" i="310"/>
  <c r="AX26" i="310"/>
  <c r="AR26" i="310"/>
  <c r="AD26" i="310"/>
  <c r="P26" i="310"/>
  <c r="BS21" i="310"/>
  <c r="BH21" i="310"/>
  <c r="BG21" i="310"/>
  <c r="AS21" i="310"/>
  <c r="AE21" i="310"/>
  <c r="AE53" i="310" s="1"/>
  <c r="T21" i="310"/>
  <c r="T53" i="310" s="1"/>
  <c r="R21" i="310"/>
  <c r="R53" i="310" s="1"/>
  <c r="Q21" i="310"/>
  <c r="Q53" i="310" s="1"/>
  <c r="O21" i="310"/>
  <c r="O53" i="310" s="1"/>
  <c r="N21" i="310"/>
  <c r="N53" i="310" s="1"/>
  <c r="M21" i="310"/>
  <c r="M53" i="310" s="1"/>
  <c r="L21" i="310"/>
  <c r="L53" i="310" s="1"/>
  <c r="K21" i="310"/>
  <c r="J21" i="310"/>
  <c r="J53" i="310" s="1"/>
  <c r="I21" i="310"/>
  <c r="I53" i="310" s="1"/>
  <c r="H21" i="310"/>
  <c r="H53" i="310" s="1"/>
  <c r="G21" i="310"/>
  <c r="G53" i="310" s="1"/>
  <c r="F21" i="310"/>
  <c r="E21" i="310"/>
  <c r="E53" i="310" s="1"/>
  <c r="D21" i="310"/>
  <c r="D53" i="310" s="1"/>
  <c r="BG20" i="310"/>
  <c r="BH20" i="310" s="1"/>
  <c r="BI20" i="310" s="1"/>
  <c r="BJ20" i="310" s="1"/>
  <c r="BK20" i="310" s="1"/>
  <c r="BL20" i="310" s="1"/>
  <c r="BM20" i="310" s="1"/>
  <c r="BN20" i="310" s="1"/>
  <c r="BO20" i="310" s="1"/>
  <c r="BP20" i="310" s="1"/>
  <c r="BQ20" i="310" s="1"/>
  <c r="BR20" i="310" s="1"/>
  <c r="AU20" i="310"/>
  <c r="AT20" i="310"/>
  <c r="AG20" i="310"/>
  <c r="AF20" i="310"/>
  <c r="T20" i="310"/>
  <c r="P20" i="310"/>
  <c r="BG19" i="310"/>
  <c r="BH19" i="310" s="1"/>
  <c r="BI19" i="310" s="1"/>
  <c r="BJ19" i="310" s="1"/>
  <c r="BK19" i="310" s="1"/>
  <c r="BL19" i="310" s="1"/>
  <c r="BM19" i="310" s="1"/>
  <c r="BN19" i="310" s="1"/>
  <c r="BO19" i="310" s="1"/>
  <c r="BP19" i="310" s="1"/>
  <c r="BQ19" i="310" s="1"/>
  <c r="BR19" i="310" s="1"/>
  <c r="AT19" i="310"/>
  <c r="AF19" i="310"/>
  <c r="T19" i="310"/>
  <c r="P19" i="310"/>
  <c r="BG18" i="310"/>
  <c r="BH18" i="310" s="1"/>
  <c r="BI18" i="310" s="1"/>
  <c r="BJ18" i="310" s="1"/>
  <c r="BK18" i="310" s="1"/>
  <c r="BL18" i="310" s="1"/>
  <c r="BM18" i="310" s="1"/>
  <c r="BN18" i="310" s="1"/>
  <c r="BO18" i="310" s="1"/>
  <c r="BP18" i="310" s="1"/>
  <c r="BQ18" i="310" s="1"/>
  <c r="BR18" i="310" s="1"/>
  <c r="AT18" i="310"/>
  <c r="AF18" i="310"/>
  <c r="V18" i="310"/>
  <c r="T18" i="310"/>
  <c r="P18" i="310"/>
  <c r="BI17" i="310"/>
  <c r="BJ17" i="310" s="1"/>
  <c r="BK17" i="310" s="1"/>
  <c r="BL17" i="310" s="1"/>
  <c r="BM17" i="310" s="1"/>
  <c r="BN17" i="310" s="1"/>
  <c r="BO17" i="310" s="1"/>
  <c r="BP17" i="310" s="1"/>
  <c r="BQ17" i="310" s="1"/>
  <c r="BR17" i="310" s="1"/>
  <c r="BG17" i="310"/>
  <c r="BH17" i="310" s="1"/>
  <c r="BF17" i="310"/>
  <c r="AW17" i="310"/>
  <c r="AX17" i="310" s="1"/>
  <c r="AY17" i="310" s="1"/>
  <c r="AZ17" i="310" s="1"/>
  <c r="BA17" i="310" s="1"/>
  <c r="BB17" i="310" s="1"/>
  <c r="BC17" i="310" s="1"/>
  <c r="BD17" i="310" s="1"/>
  <c r="BE17" i="310" s="1"/>
  <c r="AU17" i="310"/>
  <c r="AT17" i="310"/>
  <c r="AS17" i="310"/>
  <c r="AQ17" i="310"/>
  <c r="AP17" i="310"/>
  <c r="AN17" i="310"/>
  <c r="AM17" i="310"/>
  <c r="AL17" i="310"/>
  <c r="AK17" i="310"/>
  <c r="AJ17" i="310"/>
  <c r="AI17" i="310"/>
  <c r="AR17" i="310" s="1"/>
  <c r="AH17" i="310"/>
  <c r="AG17" i="310"/>
  <c r="AC17" i="310"/>
  <c r="AB17" i="310"/>
  <c r="AA17" i="310"/>
  <c r="Z17" i="310"/>
  <c r="Y17" i="310"/>
  <c r="X17" i="310"/>
  <c r="V17" i="310"/>
  <c r="U17" i="310"/>
  <c r="U21" i="310" s="1"/>
  <c r="U53" i="310" s="1"/>
  <c r="S17" i="310"/>
  <c r="S21" i="310" s="1"/>
  <c r="S53" i="310" s="1"/>
  <c r="P17" i="310"/>
  <c r="BH16" i="310"/>
  <c r="BI16" i="310" s="1"/>
  <c r="BJ16" i="310" s="1"/>
  <c r="BK16" i="310" s="1"/>
  <c r="BL16" i="310" s="1"/>
  <c r="BM16" i="310" s="1"/>
  <c r="BN16" i="310" s="1"/>
  <c r="BO16" i="310" s="1"/>
  <c r="BP16" i="310" s="1"/>
  <c r="BQ16" i="310" s="1"/>
  <c r="BR16" i="310" s="1"/>
  <c r="BG16" i="310"/>
  <c r="AV16" i="310"/>
  <c r="AU16" i="310"/>
  <c r="AR16" i="310"/>
  <c r="AD16" i="310"/>
  <c r="P16" i="310"/>
  <c r="BG15" i="310"/>
  <c r="BH15" i="310" s="1"/>
  <c r="BI15" i="310" s="1"/>
  <c r="BJ15" i="310" s="1"/>
  <c r="BK15" i="310" s="1"/>
  <c r="BL15" i="310" s="1"/>
  <c r="BM15" i="310" s="1"/>
  <c r="BN15" i="310" s="1"/>
  <c r="BO15" i="310" s="1"/>
  <c r="BP15" i="310" s="1"/>
  <c r="BQ15" i="310" s="1"/>
  <c r="BR15" i="310" s="1"/>
  <c r="AU15" i="310"/>
  <c r="AV15" i="310" s="1"/>
  <c r="AR15" i="310"/>
  <c r="AD15" i="310"/>
  <c r="P15" i="310"/>
  <c r="BI14" i="310"/>
  <c r="BJ14" i="310" s="1"/>
  <c r="BK14" i="310" s="1"/>
  <c r="BL14" i="310" s="1"/>
  <c r="BM14" i="310" s="1"/>
  <c r="BN14" i="310" s="1"/>
  <c r="BO14" i="310" s="1"/>
  <c r="BP14" i="310" s="1"/>
  <c r="BQ14" i="310" s="1"/>
  <c r="BR14" i="310" s="1"/>
  <c r="BH14" i="310"/>
  <c r="BG14" i="310"/>
  <c r="BF14" i="310"/>
  <c r="AX14" i="310"/>
  <c r="AY14" i="310" s="1"/>
  <c r="AZ14" i="310" s="1"/>
  <c r="BA14" i="310" s="1"/>
  <c r="BB14" i="310" s="1"/>
  <c r="BC14" i="310" s="1"/>
  <c r="BD14" i="310" s="1"/>
  <c r="BE14" i="310" s="1"/>
  <c r="AR14" i="310"/>
  <c r="AD14" i="310"/>
  <c r="P14" i="310"/>
  <c r="BI13" i="310"/>
  <c r="BJ13" i="310" s="1"/>
  <c r="BK13" i="310" s="1"/>
  <c r="BL13" i="310" s="1"/>
  <c r="BM13" i="310" s="1"/>
  <c r="BN13" i="310" s="1"/>
  <c r="BO13" i="310" s="1"/>
  <c r="BP13" i="310" s="1"/>
  <c r="BQ13" i="310" s="1"/>
  <c r="BR13" i="310" s="1"/>
  <c r="BH13" i="310"/>
  <c r="BG13" i="310"/>
  <c r="AY13" i="310"/>
  <c r="AZ13" i="310" s="1"/>
  <c r="BA13" i="310" s="1"/>
  <c r="BB13" i="310" s="1"/>
  <c r="BC13" i="310" s="1"/>
  <c r="BD13" i="310" s="1"/>
  <c r="BE13" i="310" s="1"/>
  <c r="AX13" i="310"/>
  <c r="AD13" i="310"/>
  <c r="P13" i="310"/>
  <c r="BG12" i="310"/>
  <c r="BH12" i="310" s="1"/>
  <c r="BI12" i="310" s="1"/>
  <c r="BJ12" i="310" s="1"/>
  <c r="BK12" i="310" s="1"/>
  <c r="BL12" i="310" s="1"/>
  <c r="BM12" i="310" s="1"/>
  <c r="BN12" i="310" s="1"/>
  <c r="BO12" i="310" s="1"/>
  <c r="BP12" i="310" s="1"/>
  <c r="BQ12" i="310" s="1"/>
  <c r="BR12" i="310" s="1"/>
  <c r="AX12" i="310"/>
  <c r="AY12" i="310" s="1"/>
  <c r="AZ12" i="310" s="1"/>
  <c r="BA12" i="310" s="1"/>
  <c r="BB12" i="310" s="1"/>
  <c r="BC12" i="310" s="1"/>
  <c r="BD12" i="310" s="1"/>
  <c r="BE12" i="310" s="1"/>
  <c r="AD12" i="310"/>
  <c r="P12" i="310"/>
  <c r="BH11" i="310"/>
  <c r="BI11" i="310" s="1"/>
  <c r="BJ11" i="310" s="1"/>
  <c r="BK11" i="310" s="1"/>
  <c r="BL11" i="310" s="1"/>
  <c r="BM11" i="310" s="1"/>
  <c r="BN11" i="310" s="1"/>
  <c r="BO11" i="310" s="1"/>
  <c r="BP11" i="310" s="1"/>
  <c r="BQ11" i="310" s="1"/>
  <c r="BR11" i="310" s="1"/>
  <c r="BG11" i="310"/>
  <c r="AU11" i="310"/>
  <c r="AT11" i="310"/>
  <c r="AG11" i="310"/>
  <c r="AF11" i="310"/>
  <c r="T11" i="310"/>
  <c r="P11" i="310"/>
  <c r="P21" i="310" s="1"/>
  <c r="BJ10" i="310"/>
  <c r="BK10" i="310" s="1"/>
  <c r="BL10" i="310" s="1"/>
  <c r="BM10" i="310" s="1"/>
  <c r="BN10" i="310" s="1"/>
  <c r="BO10" i="310" s="1"/>
  <c r="BP10" i="310" s="1"/>
  <c r="BQ10" i="310" s="1"/>
  <c r="BR10" i="310" s="1"/>
  <c r="BG10" i="310"/>
  <c r="BH10" i="310" s="1"/>
  <c r="BI10" i="310" s="1"/>
  <c r="AT10" i="310"/>
  <c r="AU10" i="310" s="1"/>
  <c r="AR10" i="310"/>
  <c r="AF10" i="310"/>
  <c r="X10" i="310"/>
  <c r="W10" i="310"/>
  <c r="T10" i="310"/>
  <c r="P10" i="310"/>
  <c r="BG9" i="310"/>
  <c r="BH9" i="310" s="1"/>
  <c r="BI9" i="310" s="1"/>
  <c r="BJ9" i="310" s="1"/>
  <c r="BK9" i="310" s="1"/>
  <c r="BL9" i="310" s="1"/>
  <c r="BM9" i="310" s="1"/>
  <c r="BN9" i="310" s="1"/>
  <c r="BO9" i="310" s="1"/>
  <c r="BP9" i="310" s="1"/>
  <c r="BQ9" i="310" s="1"/>
  <c r="BR9" i="310" s="1"/>
  <c r="AX9" i="310"/>
  <c r="AY9" i="310" s="1"/>
  <c r="AZ9" i="310" s="1"/>
  <c r="BA9" i="310" s="1"/>
  <c r="BB9" i="310" s="1"/>
  <c r="BC9" i="310" s="1"/>
  <c r="BD9" i="310" s="1"/>
  <c r="BE9" i="310" s="1"/>
  <c r="AR9" i="310"/>
  <c r="AD9" i="310"/>
  <c r="P9" i="310"/>
  <c r="BH8" i="310"/>
  <c r="BH52" i="310" s="1"/>
  <c r="BG8" i="310"/>
  <c r="BF8" i="310"/>
  <c r="BF21" i="310" s="1"/>
  <c r="BF53" i="310" s="1"/>
  <c r="AV8" i="310"/>
  <c r="AV52" i="310" s="1"/>
  <c r="AU8" i="310"/>
  <c r="AJ8" i="310"/>
  <c r="AJ52" i="310" s="1"/>
  <c r="AC8" i="310"/>
  <c r="AC52" i="310" s="1"/>
  <c r="P8" i="310"/>
  <c r="AU52" i="310" l="1"/>
  <c r="AX8" i="310"/>
  <c r="BI8" i="310"/>
  <c r="W18" i="310"/>
  <c r="Z18" i="310" s="1"/>
  <c r="AA18" i="310" s="1"/>
  <c r="AG19" i="310"/>
  <c r="U30" i="310"/>
  <c r="AH31" i="310"/>
  <c r="AG45" i="311"/>
  <c r="AH34" i="311"/>
  <c r="AH45" i="311" s="1"/>
  <c r="AH49" i="311" s="1"/>
  <c r="AF44" i="310"/>
  <c r="AF48" i="310" s="1"/>
  <c r="AG29" i="310"/>
  <c r="AW15" i="310"/>
  <c r="AX15" i="310" s="1"/>
  <c r="AY15" i="310" s="1"/>
  <c r="AZ15" i="310" s="1"/>
  <c r="BA15" i="310" s="1"/>
  <c r="BB15" i="310" s="1"/>
  <c r="BC15" i="310" s="1"/>
  <c r="BD15" i="310" s="1"/>
  <c r="BE15" i="310" s="1"/>
  <c r="AX28" i="310"/>
  <c r="AY28" i="310" s="1"/>
  <c r="AZ28" i="310" s="1"/>
  <c r="BA28" i="310" s="1"/>
  <c r="BB28" i="310" s="1"/>
  <c r="BC28" i="310" s="1"/>
  <c r="BD28" i="310" s="1"/>
  <c r="BE28" i="310" s="1"/>
  <c r="U31" i="310"/>
  <c r="AG32" i="310"/>
  <c r="X18" i="310"/>
  <c r="AH19" i="310"/>
  <c r="BH53" i="310"/>
  <c r="AG30" i="310"/>
  <c r="AH30" i="310" s="1"/>
  <c r="AV40" i="310"/>
  <c r="AU40" i="310"/>
  <c r="AF21" i="310"/>
  <c r="AF53" i="310" s="1"/>
  <c r="BI21" i="310"/>
  <c r="P28" i="310"/>
  <c r="AW29" i="310"/>
  <c r="T32" i="310"/>
  <c r="AW35" i="310"/>
  <c r="AX35" i="310" s="1"/>
  <c r="AY35" i="310" s="1"/>
  <c r="AZ35" i="310" s="1"/>
  <c r="BA35" i="310" s="1"/>
  <c r="BB35" i="310" s="1"/>
  <c r="BC35" i="310" s="1"/>
  <c r="BD35" i="310" s="1"/>
  <c r="BE35" i="310" s="1"/>
  <c r="AU42" i="310"/>
  <c r="AW42" i="310" s="1"/>
  <c r="AD8" i="310"/>
  <c r="AV10" i="310"/>
  <c r="AX10" i="310" s="1"/>
  <c r="AY10" i="310" s="1"/>
  <c r="AZ10" i="310" s="1"/>
  <c r="BA10" i="310" s="1"/>
  <c r="BB10" i="310" s="1"/>
  <c r="BC10" i="310" s="1"/>
  <c r="BD10" i="310" s="1"/>
  <c r="BE10" i="310" s="1"/>
  <c r="AD17" i="310"/>
  <c r="AV18" i="310"/>
  <c r="AU18" i="310"/>
  <c r="AH20" i="310"/>
  <c r="BG28" i="310"/>
  <c r="BH28" i="310" s="1"/>
  <c r="BI28" i="310" s="1"/>
  <c r="BJ28" i="310" s="1"/>
  <c r="BK28" i="310" s="1"/>
  <c r="BL28" i="310" s="1"/>
  <c r="BM28" i="310" s="1"/>
  <c r="BN28" i="310" s="1"/>
  <c r="BO28" i="310" s="1"/>
  <c r="BP28" i="310" s="1"/>
  <c r="BQ28" i="310" s="1"/>
  <c r="BR28" i="310" s="1"/>
  <c r="T34" i="310"/>
  <c r="AG34" i="310"/>
  <c r="T35" i="310"/>
  <c r="U35" i="310"/>
  <c r="AG35" i="310"/>
  <c r="T37" i="310"/>
  <c r="AS48" i="310"/>
  <c r="AZ8" i="311"/>
  <c r="BA8" i="311" s="1"/>
  <c r="BB8" i="311" s="1"/>
  <c r="BC8" i="311" s="1"/>
  <c r="BD8" i="311" s="1"/>
  <c r="BE8" i="311" s="1"/>
  <c r="AW42" i="311"/>
  <c r="AX42" i="311" s="1"/>
  <c r="AY42" i="311" s="1"/>
  <c r="AZ42" i="311" s="1"/>
  <c r="BA42" i="311" s="1"/>
  <c r="BB42" i="311" s="1"/>
  <c r="BC42" i="311" s="1"/>
  <c r="BD42" i="311" s="1"/>
  <c r="BE42" i="311" s="1"/>
  <c r="H43" i="311"/>
  <c r="AX48" i="311"/>
  <c r="AY48" i="311" s="1"/>
  <c r="AZ48" i="311" s="1"/>
  <c r="BA48" i="311" s="1"/>
  <c r="BB48" i="311" s="1"/>
  <c r="BC48" i="311" s="1"/>
  <c r="BD48" i="311" s="1"/>
  <c r="BE48" i="311" s="1"/>
  <c r="AY46" i="311"/>
  <c r="AZ46" i="311" s="1"/>
  <c r="BA46" i="311" s="1"/>
  <c r="BB46" i="311" s="1"/>
  <c r="BC46" i="311" s="1"/>
  <c r="BD46" i="311" s="1"/>
  <c r="BE46" i="311" s="1"/>
  <c r="Y10" i="310"/>
  <c r="Z10" i="310" s="1"/>
  <c r="AH11" i="310"/>
  <c r="AV11" i="310"/>
  <c r="AW11" i="310" s="1"/>
  <c r="AW16" i="310"/>
  <c r="AX16" i="310" s="1"/>
  <c r="AY16" i="310" s="1"/>
  <c r="AZ16" i="310" s="1"/>
  <c r="BA16" i="310" s="1"/>
  <c r="BB16" i="310" s="1"/>
  <c r="BC16" i="310" s="1"/>
  <c r="BD16" i="310" s="1"/>
  <c r="BE16" i="310" s="1"/>
  <c r="Y18" i="310"/>
  <c r="AW18" i="310"/>
  <c r="AU19" i="310"/>
  <c r="W20" i="310"/>
  <c r="V20" i="310"/>
  <c r="AV20" i="310"/>
  <c r="W29" i="310"/>
  <c r="U37" i="310"/>
  <c r="V37" i="310" s="1"/>
  <c r="AG37" i="310"/>
  <c r="AW38" i="310"/>
  <c r="AV38" i="310"/>
  <c r="AX38" i="310" s="1"/>
  <c r="AY38" i="310" s="1"/>
  <c r="AZ38" i="310" s="1"/>
  <c r="BA38" i="310" s="1"/>
  <c r="BB38" i="310" s="1"/>
  <c r="BC38" i="310" s="1"/>
  <c r="BD38" i="310" s="1"/>
  <c r="BE38" i="310" s="1"/>
  <c r="T39" i="310"/>
  <c r="AI39" i="310"/>
  <c r="AU39" i="310"/>
  <c r="AT44" i="310"/>
  <c r="AV46" i="310"/>
  <c r="AW46" i="310" s="1"/>
  <c r="AX46" i="310" s="1"/>
  <c r="AY46" i="310" s="1"/>
  <c r="AZ46" i="310" s="1"/>
  <c r="BA46" i="310" s="1"/>
  <c r="BB46" i="310" s="1"/>
  <c r="BC46" i="310" s="1"/>
  <c r="BD46" i="310" s="1"/>
  <c r="BE46" i="310" s="1"/>
  <c r="AY9" i="311"/>
  <c r="AZ9" i="311" s="1"/>
  <c r="BA9" i="311" s="1"/>
  <c r="BB9" i="311" s="1"/>
  <c r="BC9" i="311" s="1"/>
  <c r="BD9" i="311" s="1"/>
  <c r="BE9" i="311" s="1"/>
  <c r="AU21" i="311"/>
  <c r="AX13" i="311"/>
  <c r="AY13" i="311" s="1"/>
  <c r="AZ13" i="311" s="1"/>
  <c r="BA13" i="311" s="1"/>
  <c r="BB13" i="311" s="1"/>
  <c r="BC13" i="311" s="1"/>
  <c r="BD13" i="311" s="1"/>
  <c r="BE13" i="311" s="1"/>
  <c r="E48" i="311"/>
  <c r="E49" i="311" s="1"/>
  <c r="P46" i="311"/>
  <c r="AJ21" i="311"/>
  <c r="AJ54" i="311" s="1"/>
  <c r="AD17" i="311"/>
  <c r="G45" i="311"/>
  <c r="AX43" i="311"/>
  <c r="AY43" i="311" s="1"/>
  <c r="AZ43" i="311" s="1"/>
  <c r="BA43" i="311" s="1"/>
  <c r="BB43" i="311" s="1"/>
  <c r="BC43" i="311" s="1"/>
  <c r="BD43" i="311" s="1"/>
  <c r="BE43" i="311" s="1"/>
  <c r="AW43" i="311"/>
  <c r="AD48" i="311"/>
  <c r="R49" i="311"/>
  <c r="AR17" i="312"/>
  <c r="BI18" i="312"/>
  <c r="BJ18" i="312" s="1"/>
  <c r="BK18" i="312" s="1"/>
  <c r="BL18" i="312" s="1"/>
  <c r="BM18" i="312" s="1"/>
  <c r="BN18" i="312" s="1"/>
  <c r="BO18" i="312" s="1"/>
  <c r="BP18" i="312" s="1"/>
  <c r="BQ18" i="312" s="1"/>
  <c r="BR18" i="312" s="1"/>
  <c r="BH52" i="312"/>
  <c r="AT21" i="310"/>
  <c r="AT53" i="310" s="1"/>
  <c r="P44" i="310"/>
  <c r="AX29" i="310"/>
  <c r="AY29" i="310" s="1"/>
  <c r="AZ29" i="310" s="1"/>
  <c r="BA29" i="310" s="1"/>
  <c r="BB29" i="310" s="1"/>
  <c r="BC29" i="310" s="1"/>
  <c r="BD29" i="310" s="1"/>
  <c r="BE29" i="310" s="1"/>
  <c r="AX30" i="310"/>
  <c r="AY30" i="310" s="1"/>
  <c r="AZ30" i="310" s="1"/>
  <c r="BA30" i="310" s="1"/>
  <c r="BB30" i="310" s="1"/>
  <c r="BC30" i="310" s="1"/>
  <c r="BD30" i="310" s="1"/>
  <c r="BE30" i="310" s="1"/>
  <c r="AG38" i="310"/>
  <c r="AT48" i="310"/>
  <c r="BJ53" i="311"/>
  <c r="BK8" i="311"/>
  <c r="AV21" i="311"/>
  <c r="AX14" i="311"/>
  <c r="AY14" i="311" s="1"/>
  <c r="AZ14" i="311" s="1"/>
  <c r="BA14" i="311" s="1"/>
  <c r="BB14" i="311" s="1"/>
  <c r="BC14" i="311" s="1"/>
  <c r="BD14" i="311" s="1"/>
  <c r="BE14" i="311" s="1"/>
  <c r="D49" i="311"/>
  <c r="AR48" i="311"/>
  <c r="BF51" i="312"/>
  <c r="BF21" i="312"/>
  <c r="AX8" i="312"/>
  <c r="AR26" i="312"/>
  <c r="AG28" i="312"/>
  <c r="AR8" i="310"/>
  <c r="BG52" i="310"/>
  <c r="V11" i="310"/>
  <c r="AG18" i="310"/>
  <c r="V19" i="310"/>
  <c r="BG53" i="310"/>
  <c r="BS53" i="310"/>
  <c r="I48" i="310"/>
  <c r="Q48" i="310"/>
  <c r="S44" i="310"/>
  <c r="X29" i="310"/>
  <c r="V31" i="310"/>
  <c r="AU31" i="310"/>
  <c r="AV32" i="310"/>
  <c r="AU34" i="310"/>
  <c r="AV37" i="310"/>
  <c r="U38" i="310"/>
  <c r="AH38" i="310"/>
  <c r="U40" i="310"/>
  <c r="AI40" i="310"/>
  <c r="T42" i="310"/>
  <c r="AG42" i="310"/>
  <c r="AJ46" i="310"/>
  <c r="AI46" i="310"/>
  <c r="S48" i="310"/>
  <c r="AH47" i="310"/>
  <c r="AU47" i="310"/>
  <c r="U11" i="311"/>
  <c r="T21" i="311"/>
  <c r="T54" i="311" s="1"/>
  <c r="Q21" i="311"/>
  <c r="P21" i="311" s="1"/>
  <c r="U39" i="311"/>
  <c r="T39" i="311"/>
  <c r="S45" i="311"/>
  <c r="BJ52" i="312"/>
  <c r="BK21" i="312"/>
  <c r="AF55" i="312"/>
  <c r="AH31" i="312"/>
  <c r="AL31" i="312" s="1"/>
  <c r="AJ31" i="312"/>
  <c r="AK31" i="312" s="1"/>
  <c r="AI31" i="312"/>
  <c r="AV38" i="312"/>
  <c r="BG48" i="310"/>
  <c r="BH48" i="310" s="1"/>
  <c r="BI48" i="310" s="1"/>
  <c r="BJ48" i="310" s="1"/>
  <c r="BK48" i="310" s="1"/>
  <c r="BL48" i="310" s="1"/>
  <c r="BM48" i="310" s="1"/>
  <c r="BN48" i="310" s="1"/>
  <c r="BO48" i="310" s="1"/>
  <c r="BP48" i="310" s="1"/>
  <c r="BQ48" i="310" s="1"/>
  <c r="BR48" i="310" s="1"/>
  <c r="AH21" i="311"/>
  <c r="AH54" i="311" s="1"/>
  <c r="AR18" i="311"/>
  <c r="AD28" i="311"/>
  <c r="AU45" i="311"/>
  <c r="AU49" i="311" s="1"/>
  <c r="G49" i="311"/>
  <c r="AV32" i="312"/>
  <c r="AW32" i="312"/>
  <c r="AX32" i="312" s="1"/>
  <c r="AY32" i="312" s="1"/>
  <c r="AZ32" i="312" s="1"/>
  <c r="BA32" i="312" s="1"/>
  <c r="BB32" i="312" s="1"/>
  <c r="BC32" i="312" s="1"/>
  <c r="BD32" i="312" s="1"/>
  <c r="BE32" i="312" s="1"/>
  <c r="AH37" i="312"/>
  <c r="AW38" i="312"/>
  <c r="AX38" i="312" s="1"/>
  <c r="AY38" i="312" s="1"/>
  <c r="AZ38" i="312" s="1"/>
  <c r="BA38" i="312" s="1"/>
  <c r="BB38" i="312" s="1"/>
  <c r="BC38" i="312" s="1"/>
  <c r="BD38" i="312" s="1"/>
  <c r="BE38" i="312" s="1"/>
  <c r="AJ39" i="310"/>
  <c r="AH45" i="310"/>
  <c r="R48" i="310"/>
  <c r="BH47" i="310"/>
  <c r="BI47" i="310" s="1"/>
  <c r="BJ47" i="310" s="1"/>
  <c r="BK47" i="310" s="1"/>
  <c r="BL47" i="310" s="1"/>
  <c r="BM47" i="310" s="1"/>
  <c r="BN47" i="310" s="1"/>
  <c r="BO47" i="310" s="1"/>
  <c r="BP47" i="310" s="1"/>
  <c r="BQ47" i="310" s="1"/>
  <c r="BR47" i="310" s="1"/>
  <c r="AE52" i="310"/>
  <c r="AS50" i="310"/>
  <c r="AI21" i="311"/>
  <c r="AI54" i="311" s="1"/>
  <c r="AX18" i="311"/>
  <c r="AY18" i="311" s="1"/>
  <c r="AZ18" i="311" s="1"/>
  <c r="BA18" i="311" s="1"/>
  <c r="BB18" i="311" s="1"/>
  <c r="BC18" i="311" s="1"/>
  <c r="BD18" i="311" s="1"/>
  <c r="BE18" i="311" s="1"/>
  <c r="U45" i="311"/>
  <c r="U49" i="311" s="1"/>
  <c r="W34" i="311"/>
  <c r="AX36" i="311"/>
  <c r="AY36" i="311" s="1"/>
  <c r="AZ36" i="311" s="1"/>
  <c r="BA36" i="311" s="1"/>
  <c r="BB36" i="311" s="1"/>
  <c r="BC36" i="311" s="1"/>
  <c r="BD36" i="311" s="1"/>
  <c r="BE36" i="311" s="1"/>
  <c r="F45" i="311"/>
  <c r="F49" i="311" s="1"/>
  <c r="I39" i="311"/>
  <c r="X39" i="311"/>
  <c r="X45" i="311" s="1"/>
  <c r="X49" i="311" s="1"/>
  <c r="H39" i="311"/>
  <c r="J39" i="311" s="1"/>
  <c r="AV39" i="311"/>
  <c r="AV45" i="311" s="1"/>
  <c r="AV49" i="311" s="1"/>
  <c r="P48" i="311"/>
  <c r="AE21" i="312"/>
  <c r="AD17" i="312"/>
  <c r="AV18" i="312"/>
  <c r="AV19" i="312"/>
  <c r="AX19" i="312"/>
  <c r="AY19" i="312" s="1"/>
  <c r="AZ19" i="312" s="1"/>
  <c r="BA19" i="312" s="1"/>
  <c r="BB19" i="312" s="1"/>
  <c r="BC19" i="312" s="1"/>
  <c r="BD19" i="312" s="1"/>
  <c r="BE19" i="312" s="1"/>
  <c r="AW19" i="312"/>
  <c r="AD43" i="312"/>
  <c r="AH32" i="312"/>
  <c r="BG53" i="311"/>
  <c r="AK11" i="311"/>
  <c r="AM11" i="311" s="1"/>
  <c r="BG21" i="311"/>
  <c r="AG49" i="311"/>
  <c r="AX28" i="311"/>
  <c r="AL39" i="311"/>
  <c r="W42" i="311"/>
  <c r="I43" i="311"/>
  <c r="BG51" i="312"/>
  <c r="BH8" i="312"/>
  <c r="AR28" i="312"/>
  <c r="AU43" i="312"/>
  <c r="AV29" i="312"/>
  <c r="BJ47" i="312"/>
  <c r="BI55" i="312"/>
  <c r="BH53" i="311"/>
  <c r="AM39" i="311"/>
  <c r="AD21" i="312"/>
  <c r="AD55" i="312" s="1"/>
  <c r="AX11" i="312"/>
  <c r="AY11" i="312" s="1"/>
  <c r="AZ11" i="312" s="1"/>
  <c r="BA11" i="312" s="1"/>
  <c r="BB11" i="312" s="1"/>
  <c r="BC11" i="312" s="1"/>
  <c r="BD11" i="312" s="1"/>
  <c r="BE11" i="312" s="1"/>
  <c r="BI52" i="312"/>
  <c r="AH35" i="312"/>
  <c r="AR11" i="312"/>
  <c r="AH19" i="312"/>
  <c r="AH20" i="312"/>
  <c r="AG43" i="312"/>
  <c r="AH30" i="312"/>
  <c r="AV33" i="312"/>
  <c r="AV36" i="312"/>
  <c r="AX36" i="312" s="1"/>
  <c r="AY36" i="312" s="1"/>
  <c r="AZ36" i="312" s="1"/>
  <c r="BA36" i="312" s="1"/>
  <c r="BB36" i="312" s="1"/>
  <c r="BC36" i="312" s="1"/>
  <c r="BD36" i="312" s="1"/>
  <c r="BE36" i="312" s="1"/>
  <c r="AW36" i="312"/>
  <c r="AH39" i="312"/>
  <c r="AI39" i="312"/>
  <c r="AU21" i="312"/>
  <c r="AU52" i="312" s="1"/>
  <c r="AX17" i="312"/>
  <c r="AY17" i="312" s="1"/>
  <c r="AZ17" i="312" s="1"/>
  <c r="BA17" i="312" s="1"/>
  <c r="BB17" i="312" s="1"/>
  <c r="BC17" i="312" s="1"/>
  <c r="BD17" i="312" s="1"/>
  <c r="BE17" i="312" s="1"/>
  <c r="AI19" i="312"/>
  <c r="AT21" i="312"/>
  <c r="AT52" i="312" s="1"/>
  <c r="AE55" i="312"/>
  <c r="AU47" i="312"/>
  <c r="AU55" i="312" s="1"/>
  <c r="AI30" i="312"/>
  <c r="AW31" i="312"/>
  <c r="AX31" i="312" s="1"/>
  <c r="AY31" i="312" s="1"/>
  <c r="AZ31" i="312" s="1"/>
  <c r="BA31" i="312" s="1"/>
  <c r="BB31" i="312" s="1"/>
  <c r="BC31" i="312" s="1"/>
  <c r="BD31" i="312" s="1"/>
  <c r="BE31" i="312" s="1"/>
  <c r="AH33" i="312"/>
  <c r="AH36" i="312"/>
  <c r="AV37" i="312"/>
  <c r="AW37" i="312" s="1"/>
  <c r="AX37" i="312"/>
  <c r="AY37" i="312" s="1"/>
  <c r="AZ37" i="312" s="1"/>
  <c r="BA37" i="312" s="1"/>
  <c r="BB37" i="312" s="1"/>
  <c r="BC37" i="312" s="1"/>
  <c r="BD37" i="312" s="1"/>
  <c r="BE37" i="312" s="1"/>
  <c r="AJ39" i="312"/>
  <c r="BG52" i="312"/>
  <c r="AT47" i="312"/>
  <c r="AT55" i="312" s="1"/>
  <c r="AX28" i="312"/>
  <c r="AY28" i="312" s="1"/>
  <c r="AZ28" i="312" s="1"/>
  <c r="BA28" i="312" s="1"/>
  <c r="BB28" i="312" s="1"/>
  <c r="BC28" i="312" s="1"/>
  <c r="BD28" i="312" s="1"/>
  <c r="BE28" i="312" s="1"/>
  <c r="BF47" i="312"/>
  <c r="AH34" i="312"/>
  <c r="AH38" i="312"/>
  <c r="AX39" i="312"/>
  <c r="AY39" i="312" s="1"/>
  <c r="AZ39" i="312" s="1"/>
  <c r="BA39" i="312" s="1"/>
  <c r="BB39" i="312" s="1"/>
  <c r="BC39" i="312" s="1"/>
  <c r="BD39" i="312" s="1"/>
  <c r="BE39" i="312" s="1"/>
  <c r="AV39" i="312"/>
  <c r="AW39" i="312" s="1"/>
  <c r="BG55" i="312"/>
  <c r="AG46" i="312"/>
  <c r="AH45" i="312"/>
  <c r="AX46" i="312"/>
  <c r="AY46" i="312" s="1"/>
  <c r="AZ46" i="312" s="1"/>
  <c r="BA46" i="312" s="1"/>
  <c r="BB46" i="312" s="1"/>
  <c r="BC46" i="312" s="1"/>
  <c r="BD46" i="312" s="1"/>
  <c r="BE46" i="312" s="1"/>
  <c r="G20" i="309"/>
  <c r="A20" i="309"/>
  <c r="G19" i="309"/>
  <c r="G18" i="309"/>
  <c r="G17" i="309"/>
  <c r="G16" i="309"/>
  <c r="G15" i="309"/>
  <c r="G14" i="309"/>
  <c r="G13" i="309"/>
  <c r="G12" i="309"/>
  <c r="G11" i="309"/>
  <c r="G10" i="309"/>
  <c r="G9" i="309"/>
  <c r="A9" i="309"/>
  <c r="A10" i="309" s="1"/>
  <c r="A11" i="309" s="1"/>
  <c r="A12" i="309" s="1"/>
  <c r="A13" i="309" s="1"/>
  <c r="A14" i="309" s="1"/>
  <c r="A15" i="309" s="1"/>
  <c r="A16" i="309" s="1"/>
  <c r="A17" i="309" s="1"/>
  <c r="A18" i="309" s="1"/>
  <c r="G8" i="309"/>
  <c r="AM21" i="311" l="1"/>
  <c r="AM54" i="311" s="1"/>
  <c r="AM31" i="312"/>
  <c r="AK34" i="312"/>
  <c r="AJ34" i="312"/>
  <c r="AI34" i="312"/>
  <c r="BH21" i="311"/>
  <c r="BG54" i="311"/>
  <c r="AV21" i="312"/>
  <c r="AV52" i="312" s="1"/>
  <c r="AW18" i="312"/>
  <c r="AW21" i="312" s="1"/>
  <c r="AW52" i="312" s="1"/>
  <c r="Y42" i="311"/>
  <c r="Y45" i="311" s="1"/>
  <c r="Y49" i="311" s="1"/>
  <c r="AJ40" i="310"/>
  <c r="W40" i="310"/>
  <c r="V40" i="310"/>
  <c r="AW37" i="310"/>
  <c r="AX37" i="310" s="1"/>
  <c r="AY37" i="310" s="1"/>
  <c r="AZ37" i="310" s="1"/>
  <c r="BA37" i="310" s="1"/>
  <c r="BB37" i="310" s="1"/>
  <c r="BC37" i="310" s="1"/>
  <c r="BD37" i="310" s="1"/>
  <c r="BE37" i="310" s="1"/>
  <c r="BH51" i="312"/>
  <c r="BI8" i="312"/>
  <c r="AI45" i="310"/>
  <c r="AW39" i="311"/>
  <c r="AW45" i="311" s="1"/>
  <c r="AW49" i="311" s="1"/>
  <c r="U21" i="311"/>
  <c r="U54" i="311" s="1"/>
  <c r="U42" i="310"/>
  <c r="V42" i="310" s="1"/>
  <c r="AW34" i="310"/>
  <c r="AX34" i="310" s="1"/>
  <c r="AY34" i="310" s="1"/>
  <c r="AZ34" i="310" s="1"/>
  <c r="BA34" i="310" s="1"/>
  <c r="BB34" i="310" s="1"/>
  <c r="BC34" i="310" s="1"/>
  <c r="BD34" i="310" s="1"/>
  <c r="BE34" i="310" s="1"/>
  <c r="AV34" i="310"/>
  <c r="X19" i="310"/>
  <c r="W19" i="310"/>
  <c r="Y19" i="310"/>
  <c r="AX51" i="312"/>
  <c r="AY8" i="312"/>
  <c r="S49" i="311"/>
  <c r="BK53" i="311"/>
  <c r="BL8" i="311"/>
  <c r="AI30" i="310"/>
  <c r="AK30" i="310" s="1"/>
  <c r="AJ30" i="310"/>
  <c r="AH46" i="312"/>
  <c r="AW33" i="312"/>
  <c r="AX33" i="312" s="1"/>
  <c r="AY33" i="312" s="1"/>
  <c r="AZ33" i="312" s="1"/>
  <c r="BA33" i="312" s="1"/>
  <c r="BB33" i="312" s="1"/>
  <c r="BC33" i="312" s="1"/>
  <c r="BD33" i="312" s="1"/>
  <c r="BE33" i="312" s="1"/>
  <c r="AI33" i="312"/>
  <c r="AI20" i="312"/>
  <c r="AK39" i="312"/>
  <c r="AM39" i="312" s="1"/>
  <c r="AI35" i="312"/>
  <c r="AV43" i="312"/>
  <c r="AW29" i="312"/>
  <c r="AN39" i="311"/>
  <c r="AK21" i="311"/>
  <c r="AK54" i="311" s="1"/>
  <c r="AO11" i="311"/>
  <c r="AO21" i="311" s="1"/>
  <c r="AO54" i="311" s="1"/>
  <c r="I45" i="311"/>
  <c r="I49" i="311" s="1"/>
  <c r="AS52" i="310"/>
  <c r="AS53" i="310"/>
  <c r="AI37" i="312"/>
  <c r="AJ37" i="312" s="1"/>
  <c r="AX39" i="311"/>
  <c r="AY39" i="311" s="1"/>
  <c r="AZ39" i="311" s="1"/>
  <c r="BA39" i="311" s="1"/>
  <c r="BB39" i="311" s="1"/>
  <c r="BC39" i="311" s="1"/>
  <c r="BD39" i="311" s="1"/>
  <c r="BE39" i="311" s="1"/>
  <c r="BK52" i="312"/>
  <c r="BL21" i="312"/>
  <c r="AK46" i="310"/>
  <c r="AW32" i="310"/>
  <c r="AX32" i="310"/>
  <c r="AY32" i="310" s="1"/>
  <c r="AZ32" i="310" s="1"/>
  <c r="BA32" i="310" s="1"/>
  <c r="BB32" i="310" s="1"/>
  <c r="BC32" i="310" s="1"/>
  <c r="BD32" i="310" s="1"/>
  <c r="BE32" i="310" s="1"/>
  <c r="BF52" i="312"/>
  <c r="AX21" i="312"/>
  <c r="W31" i="310"/>
  <c r="AI45" i="312"/>
  <c r="AI46" i="312" s="1"/>
  <c r="AJ45" i="312"/>
  <c r="AJ46" i="312" s="1"/>
  <c r="AI38" i="312"/>
  <c r="BF55" i="312"/>
  <c r="AI36" i="312"/>
  <c r="AL39" i="312"/>
  <c r="AH43" i="312"/>
  <c r="AK30" i="312"/>
  <c r="AJ30" i="312"/>
  <c r="AJ19" i="312"/>
  <c r="AK19" i="312"/>
  <c r="AH21" i="312"/>
  <c r="AH52" i="312" s="1"/>
  <c r="J43" i="311"/>
  <c r="BK47" i="312"/>
  <c r="BJ55" i="312"/>
  <c r="AX49" i="311"/>
  <c r="AY49" i="311" s="1"/>
  <c r="AZ49" i="311" s="1"/>
  <c r="BA49" i="311" s="1"/>
  <c r="BB49" i="311" s="1"/>
  <c r="BC49" i="311" s="1"/>
  <c r="BD49" i="311" s="1"/>
  <c r="BE49" i="311" s="1"/>
  <c r="AY28" i="311"/>
  <c r="AZ28" i="311" s="1"/>
  <c r="BA28" i="311" s="1"/>
  <c r="BB28" i="311" s="1"/>
  <c r="BC28" i="311" s="1"/>
  <c r="BD28" i="311" s="1"/>
  <c r="BE28" i="311" s="1"/>
  <c r="AI32" i="312"/>
  <c r="AX18" i="312"/>
  <c r="AY18" i="312" s="1"/>
  <c r="AZ18" i="312" s="1"/>
  <c r="BA18" i="312" s="1"/>
  <c r="BB18" i="312" s="1"/>
  <c r="BC18" i="312" s="1"/>
  <c r="BD18" i="312" s="1"/>
  <c r="BE18" i="312" s="1"/>
  <c r="H45" i="311"/>
  <c r="H49" i="311" s="1"/>
  <c r="K39" i="311"/>
  <c r="Z34" i="311"/>
  <c r="AN31" i="312"/>
  <c r="T45" i="311"/>
  <c r="T49" i="311" s="1"/>
  <c r="V39" i="311"/>
  <c r="V45" i="311" s="1"/>
  <c r="V49" i="311" s="1"/>
  <c r="AX45" i="311"/>
  <c r="AY45" i="311" s="1"/>
  <c r="AZ45" i="311" s="1"/>
  <c r="BA45" i="311" s="1"/>
  <c r="BB45" i="311" s="1"/>
  <c r="BC45" i="311" s="1"/>
  <c r="BD45" i="311" s="1"/>
  <c r="BE45" i="311" s="1"/>
  <c r="W11" i="311"/>
  <c r="W21" i="311" s="1"/>
  <c r="W54" i="311" s="1"/>
  <c r="AI47" i="310"/>
  <c r="AH42" i="310"/>
  <c r="AK40" i="310"/>
  <c r="AL40" i="310" s="1"/>
  <c r="X40" i="310"/>
  <c r="X38" i="310"/>
  <c r="V38" i="310"/>
  <c r="W38" i="310" s="1"/>
  <c r="AV31" i="310"/>
  <c r="AV44" i="310" s="1"/>
  <c r="AU44" i="310"/>
  <c r="AU48" i="310" s="1"/>
  <c r="AV47" i="310"/>
  <c r="AW39" i="310"/>
  <c r="AI38" i="310"/>
  <c r="T44" i="310"/>
  <c r="T48" i="310" s="1"/>
  <c r="X20" i="310"/>
  <c r="AI11" i="310"/>
  <c r="AK39" i="310"/>
  <c r="AH37" i="310"/>
  <c r="AH35" i="310"/>
  <c r="P48" i="310"/>
  <c r="AW40" i="310"/>
  <c r="AX40" i="310" s="1"/>
  <c r="AY40" i="310" s="1"/>
  <c r="AZ40" i="310" s="1"/>
  <c r="BA40" i="310" s="1"/>
  <c r="BB40" i="310" s="1"/>
  <c r="BC40" i="310" s="1"/>
  <c r="BD40" i="310" s="1"/>
  <c r="BE40" i="310" s="1"/>
  <c r="AI19" i="310"/>
  <c r="AH32" i="310"/>
  <c r="AI20" i="310"/>
  <c r="AX11" i="310"/>
  <c r="AY11" i="310" s="1"/>
  <c r="AZ11" i="310" s="1"/>
  <c r="BA11" i="310" s="1"/>
  <c r="BB11" i="310" s="1"/>
  <c r="BC11" i="310" s="1"/>
  <c r="BD11" i="310" s="1"/>
  <c r="BE11" i="310" s="1"/>
  <c r="AY21" i="311"/>
  <c r="AZ21" i="311" s="1"/>
  <c r="BA21" i="311" s="1"/>
  <c r="BB21" i="311" s="1"/>
  <c r="BC21" i="311" s="1"/>
  <c r="BD21" i="311" s="1"/>
  <c r="AH18" i="310"/>
  <c r="AG47" i="312"/>
  <c r="AW20" i="310"/>
  <c r="AX20" i="310" s="1"/>
  <c r="AY20" i="310" s="1"/>
  <c r="AZ20" i="310" s="1"/>
  <c r="BA20" i="310" s="1"/>
  <c r="BB20" i="310" s="1"/>
  <c r="BC20" i="310" s="1"/>
  <c r="BD20" i="310" s="1"/>
  <c r="BE20" i="310" s="1"/>
  <c r="AV39" i="310"/>
  <c r="W37" i="310"/>
  <c r="V35" i="310"/>
  <c r="W35" i="310" s="1"/>
  <c r="AH34" i="310"/>
  <c r="AI34" i="310"/>
  <c r="U32" i="310"/>
  <c r="BI53" i="310"/>
  <c r="BJ21" i="310"/>
  <c r="AX42" i="310"/>
  <c r="AY42" i="310" s="1"/>
  <c r="AZ42" i="310" s="1"/>
  <c r="BA42" i="310" s="1"/>
  <c r="BB42" i="310" s="1"/>
  <c r="BC42" i="310" s="1"/>
  <c r="BD42" i="310" s="1"/>
  <c r="BE42" i="310" s="1"/>
  <c r="AJ11" i="310"/>
  <c r="V30" i="310"/>
  <c r="V21" i="310"/>
  <c r="V53" i="310" s="1"/>
  <c r="W11" i="310"/>
  <c r="W21" i="310" s="1"/>
  <c r="W53" i="310" s="1"/>
  <c r="X11" i="310"/>
  <c r="X21" i="310" s="1"/>
  <c r="X53" i="310" s="1"/>
  <c r="AX21" i="311"/>
  <c r="U39" i="310"/>
  <c r="V39" i="310" s="1"/>
  <c r="AX39" i="310"/>
  <c r="AY39" i="310" s="1"/>
  <c r="AZ39" i="310" s="1"/>
  <c r="BA39" i="310" s="1"/>
  <c r="BB39" i="310" s="1"/>
  <c r="BC39" i="310" s="1"/>
  <c r="BD39" i="310" s="1"/>
  <c r="BE39" i="310" s="1"/>
  <c r="AI35" i="310"/>
  <c r="AX18" i="310"/>
  <c r="AY18" i="310" s="1"/>
  <c r="AZ18" i="310" s="1"/>
  <c r="BA18" i="310" s="1"/>
  <c r="BB18" i="310" s="1"/>
  <c r="BC18" i="310" s="1"/>
  <c r="BD18" i="310" s="1"/>
  <c r="BE18" i="310" s="1"/>
  <c r="Y29" i="310"/>
  <c r="AL11" i="310"/>
  <c r="AM11" i="310" s="1"/>
  <c r="AI32" i="310"/>
  <c r="AH29" i="310"/>
  <c r="AI34" i="311"/>
  <c r="AJ34" i="311"/>
  <c r="AJ45" i="311" s="1"/>
  <c r="AJ49" i="311" s="1"/>
  <c r="V34" i="310"/>
  <c r="U34" i="310"/>
  <c r="AI29" i="310"/>
  <c r="BI52" i="310"/>
  <c r="BJ8" i="310"/>
  <c r="AX52" i="310"/>
  <c r="AY8" i="310"/>
  <c r="AG21" i="310"/>
  <c r="BE21" i="311"/>
  <c r="AV19" i="310"/>
  <c r="AV21" i="310" s="1"/>
  <c r="AV53" i="310" s="1"/>
  <c r="AJ34" i="310"/>
  <c r="V32" i="310"/>
  <c r="AG44" i="310"/>
  <c r="AI31" i="310"/>
  <c r="AU21" i="310"/>
  <c r="AU53" i="310" s="1"/>
  <c r="AA10" i="310"/>
  <c r="E52" i="230"/>
  <c r="E44" i="230"/>
  <c r="E39" i="230"/>
  <c r="E33" i="230"/>
  <c r="E28" i="230"/>
  <c r="E20" i="230"/>
  <c r="E7" i="230"/>
  <c r="E57" i="11"/>
  <c r="E49" i="11"/>
  <c r="E42" i="11"/>
  <c r="E39" i="11"/>
  <c r="E33" i="11"/>
  <c r="E28" i="11"/>
  <c r="E20" i="11"/>
  <c r="W42" i="310" l="1"/>
  <c r="AK37" i="312"/>
  <c r="AL37" i="312" s="1"/>
  <c r="AL34" i="310"/>
  <c r="AN34" i="310" s="1"/>
  <c r="W34" i="310"/>
  <c r="AJ20" i="310"/>
  <c r="AJ35" i="310"/>
  <c r="AW19" i="310"/>
  <c r="AW21" i="310" s="1"/>
  <c r="AW53" i="310" s="1"/>
  <c r="K43" i="311"/>
  <c r="AV47" i="312"/>
  <c r="AK45" i="312"/>
  <c r="AK46" i="312" s="1"/>
  <c r="BI51" i="312"/>
  <c r="BJ8" i="312"/>
  <c r="Y11" i="310"/>
  <c r="AJ20" i="312"/>
  <c r="Y38" i="310"/>
  <c r="J45" i="311"/>
  <c r="AG48" i="310"/>
  <c r="AG53" i="310"/>
  <c r="AI45" i="311"/>
  <c r="AK34" i="311"/>
  <c r="W32" i="310"/>
  <c r="AK34" i="310"/>
  <c r="AJ32" i="310"/>
  <c r="AK32" i="310"/>
  <c r="AI37" i="310"/>
  <c r="AI44" i="310" s="1"/>
  <c r="AI48" i="310" s="1"/>
  <c r="AI21" i="310"/>
  <c r="AI53" i="310" s="1"/>
  <c r="Y20" i="310"/>
  <c r="AJ38" i="310"/>
  <c r="AM34" i="310"/>
  <c r="AO34" i="310" s="1"/>
  <c r="AW31" i="310"/>
  <c r="AW44" i="310" s="1"/>
  <c r="AJ32" i="312"/>
  <c r="AK32" i="312"/>
  <c r="AJ21" i="312"/>
  <c r="AJ52" i="312" s="1"/>
  <c r="AJ36" i="312"/>
  <c r="AA29" i="310"/>
  <c r="BL52" i="312"/>
  <c r="BM21" i="312"/>
  <c r="AJ33" i="312"/>
  <c r="AY51" i="312"/>
  <c r="AZ8" i="312"/>
  <c r="Z19" i="310"/>
  <c r="AC19" i="310" s="1"/>
  <c r="AA19" i="310"/>
  <c r="AB19" i="310" s="1"/>
  <c r="AM40" i="310"/>
  <c r="AN40" i="310" s="1"/>
  <c r="BH54" i="311"/>
  <c r="BI21" i="311"/>
  <c r="AK20" i="312"/>
  <c r="AK21" i="312" s="1"/>
  <c r="AK52" i="312" s="1"/>
  <c r="AR11" i="311"/>
  <c r="AR21" i="311" s="1"/>
  <c r="AK31" i="310"/>
  <c r="AJ31" i="310"/>
  <c r="AL31" i="310" s="1"/>
  <c r="BJ52" i="310"/>
  <c r="BK8" i="310"/>
  <c r="X34" i="310"/>
  <c r="AL32" i="310"/>
  <c r="AM32" i="310" s="1"/>
  <c r="AJ37" i="310"/>
  <c r="U44" i="310"/>
  <c r="U48" i="310" s="1"/>
  <c r="X32" i="310"/>
  <c r="Z20" i="310"/>
  <c r="AK38" i="310"/>
  <c r="AB10" i="310"/>
  <c r="AC10" i="310" s="1"/>
  <c r="X37" i="310"/>
  <c r="AH21" i="310"/>
  <c r="AH53" i="310" s="1"/>
  <c r="W39" i="310"/>
  <c r="X39" i="310" s="1"/>
  <c r="AV48" i="310"/>
  <c r="AJ47" i="310"/>
  <c r="K45" i="311"/>
  <c r="K49" i="311" s="1"/>
  <c r="AI43" i="312"/>
  <c r="AI47" i="312" s="1"/>
  <c r="AK38" i="312"/>
  <c r="AJ38" i="312"/>
  <c r="AL38" i="312" s="1"/>
  <c r="AL46" i="310"/>
  <c r="AP39" i="311"/>
  <c r="AP45" i="311" s="1"/>
  <c r="AP49" i="311" s="1"/>
  <c r="AL45" i="312"/>
  <c r="AL46" i="312" s="1"/>
  <c r="AM30" i="310"/>
  <c r="BL53" i="311"/>
  <c r="BM8" i="311"/>
  <c r="AA42" i="311"/>
  <c r="AO31" i="312"/>
  <c r="AP31" i="312" s="1"/>
  <c r="AN39" i="312"/>
  <c r="L39" i="311"/>
  <c r="AY52" i="310"/>
  <c r="AZ8" i="310"/>
  <c r="AH44" i="310"/>
  <c r="AH48" i="310" s="1"/>
  <c r="AK29" i="310"/>
  <c r="AJ29" i="310"/>
  <c r="V44" i="310"/>
  <c r="V48" i="310" s="1"/>
  <c r="W30" i="310"/>
  <c r="BK21" i="310"/>
  <c r="BJ53" i="310"/>
  <c r="AN11" i="310"/>
  <c r="AO11" i="310" s="1"/>
  <c r="AG55" i="312"/>
  <c r="AI18" i="310"/>
  <c r="AJ19" i="310"/>
  <c r="X35" i="310"/>
  <c r="AA20" i="310"/>
  <c r="AX31" i="310"/>
  <c r="AY31" i="310" s="1"/>
  <c r="AZ31" i="310" s="1"/>
  <c r="BA31" i="310" s="1"/>
  <c r="BB31" i="310" s="1"/>
  <c r="BC31" i="310" s="1"/>
  <c r="BD31" i="310" s="1"/>
  <c r="BE31" i="310" s="1"/>
  <c r="AL39" i="310"/>
  <c r="AI42" i="310"/>
  <c r="AK47" i="310"/>
  <c r="AB34" i="311"/>
  <c r="AC34" i="311" s="1"/>
  <c r="BK55" i="312"/>
  <c r="BL47" i="312"/>
  <c r="AJ43" i="312"/>
  <c r="AJ47" i="312" s="1"/>
  <c r="AJ55" i="312" s="1"/>
  <c r="AL30" i="312"/>
  <c r="AH47" i="312"/>
  <c r="AH55" i="312" s="1"/>
  <c r="AK36" i="312"/>
  <c r="AL36" i="312" s="1"/>
  <c r="X31" i="310"/>
  <c r="AX52" i="312"/>
  <c r="AY21" i="312"/>
  <c r="AW47" i="310"/>
  <c r="AX47" i="310" s="1"/>
  <c r="AY47" i="310" s="1"/>
  <c r="AZ47" i="310" s="1"/>
  <c r="BA47" i="310" s="1"/>
  <c r="BB47" i="310" s="1"/>
  <c r="BC47" i="310" s="1"/>
  <c r="BD47" i="310" s="1"/>
  <c r="BE47" i="310" s="1"/>
  <c r="Y11" i="311"/>
  <c r="Y21" i="311" s="1"/>
  <c r="Y54" i="311" s="1"/>
  <c r="AP11" i="311"/>
  <c r="AP21" i="311" s="1"/>
  <c r="AP54" i="311" s="1"/>
  <c r="L43" i="311"/>
  <c r="AW43" i="312"/>
  <c r="AW47" i="312" s="1"/>
  <c r="AW55" i="312" s="1"/>
  <c r="AX29" i="312"/>
  <c r="AY29" i="312" s="1"/>
  <c r="AZ29" i="312" s="1"/>
  <c r="BA29" i="312" s="1"/>
  <c r="BB29" i="312" s="1"/>
  <c r="BC29" i="312" s="1"/>
  <c r="BD29" i="312" s="1"/>
  <c r="BE29" i="312" s="1"/>
  <c r="AJ35" i="312"/>
  <c r="AL30" i="310"/>
  <c r="AN30" i="310" s="1"/>
  <c r="AJ45" i="310"/>
  <c r="AI21" i="312"/>
  <c r="AI52" i="312" s="1"/>
  <c r="Y40" i="310"/>
  <c r="AB40" i="310" s="1"/>
  <c r="AA40" i="310"/>
  <c r="W39" i="311"/>
  <c r="Z42" i="311"/>
  <c r="AM19" i="312"/>
  <c r="AL34" i="312"/>
  <c r="C20" i="230"/>
  <c r="AO40" i="310" l="1"/>
  <c r="AP40" i="310" s="1"/>
  <c r="AN32" i="310"/>
  <c r="AP32" i="310" s="1"/>
  <c r="AD19" i="310"/>
  <c r="AM37" i="312"/>
  <c r="W45" i="311"/>
  <c r="AA37" i="310"/>
  <c r="Y37" i="310"/>
  <c r="AQ31" i="312"/>
  <c r="AZ51" i="312"/>
  <c r="BA8" i="312"/>
  <c r="BM52" i="312"/>
  <c r="BN21" i="312"/>
  <c r="AM36" i="312"/>
  <c r="AK45" i="311"/>
  <c r="AK49" i="311" s="1"/>
  <c r="AB38" i="310"/>
  <c r="BJ51" i="312"/>
  <c r="BK8" i="312"/>
  <c r="AV55" i="312"/>
  <c r="AX47" i="312"/>
  <c r="M43" i="311"/>
  <c r="N43" i="311" s="1"/>
  <c r="AM31" i="310"/>
  <c r="Y34" i="310"/>
  <c r="AM30" i="312"/>
  <c r="AK19" i="310"/>
  <c r="AZ52" i="310"/>
  <c r="BA8" i="310"/>
  <c r="L45" i="311"/>
  <c r="L49" i="311" s="1"/>
  <c r="M39" i="311"/>
  <c r="BM53" i="311"/>
  <c r="BN8" i="311"/>
  <c r="AB20" i="310"/>
  <c r="AL38" i="310"/>
  <c r="AN36" i="312"/>
  <c r="AO36" i="312" s="1"/>
  <c r="AC40" i="310"/>
  <c r="AD40" i="310" s="1"/>
  <c r="AM38" i="312"/>
  <c r="AN38" i="312" s="1"/>
  <c r="AK35" i="310"/>
  <c r="AL35" i="310"/>
  <c r="AA38" i="310"/>
  <c r="AO30" i="310"/>
  <c r="AP30" i="310" s="1"/>
  <c r="AR31" i="312"/>
  <c r="AN19" i="312"/>
  <c r="AN21" i="312" s="1"/>
  <c r="AN52" i="312" s="1"/>
  <c r="X42" i="310"/>
  <c r="Z11" i="311"/>
  <c r="Z21" i="311" s="1"/>
  <c r="Z54" i="311" s="1"/>
  <c r="AO39" i="312"/>
  <c r="AL32" i="312"/>
  <c r="Y39" i="310"/>
  <c r="AL34" i="311"/>
  <c r="AL45" i="311" s="1"/>
  <c r="AL49" i="311" s="1"/>
  <c r="Y32" i="310"/>
  <c r="AI49" i="311"/>
  <c r="AN20" i="312"/>
  <c r="Z11" i="310"/>
  <c r="Y21" i="310"/>
  <c r="Y53" i="310" s="1"/>
  <c r="AK33" i="312"/>
  <c r="AM20" i="312"/>
  <c r="AM45" i="312"/>
  <c r="AP34" i="310"/>
  <c r="AR34" i="310" s="1"/>
  <c r="AK20" i="310"/>
  <c r="AL20" i="310" s="1"/>
  <c r="Y42" i="310"/>
  <c r="AM34" i="312"/>
  <c r="AN34" i="312"/>
  <c r="AM39" i="310"/>
  <c r="BK53" i="310"/>
  <c r="BL21" i="310"/>
  <c r="AM21" i="312"/>
  <c r="AM52" i="312" s="1"/>
  <c r="AC42" i="311"/>
  <c r="AC45" i="311" s="1"/>
  <c r="AC49" i="311" s="1"/>
  <c r="AK45" i="310"/>
  <c r="Y31" i="310"/>
  <c r="Y35" i="310"/>
  <c r="AI55" i="312"/>
  <c r="AD10" i="310"/>
  <c r="P39" i="311"/>
  <c r="AY52" i="312"/>
  <c r="AZ21" i="312"/>
  <c r="BM47" i="312"/>
  <c r="BL55" i="312"/>
  <c r="AD34" i="311"/>
  <c r="AJ42" i="310"/>
  <c r="AJ18" i="310"/>
  <c r="W44" i="310"/>
  <c r="W48" i="310" s="1"/>
  <c r="X30" i="310"/>
  <c r="AL29" i="310"/>
  <c r="AQ34" i="310"/>
  <c r="AK35" i="312"/>
  <c r="AM46" i="310"/>
  <c r="AL47" i="310"/>
  <c r="AK42" i="310"/>
  <c r="AN39" i="310"/>
  <c r="AO39" i="310" s="1"/>
  <c r="AQ11" i="310"/>
  <c r="AC37" i="310"/>
  <c r="AD37" i="310" s="1"/>
  <c r="BK52" i="310"/>
  <c r="BL8" i="310"/>
  <c r="Z39" i="311"/>
  <c r="Z45" i="311" s="1"/>
  <c r="Z49" i="311" s="1"/>
  <c r="BI54" i="311"/>
  <c r="BJ21" i="311"/>
  <c r="AQ39" i="311"/>
  <c r="AR39" i="311" s="1"/>
  <c r="AM32" i="312"/>
  <c r="AN32" i="312" s="1"/>
  <c r="AW48" i="310"/>
  <c r="AX48" i="310" s="1"/>
  <c r="AY48" i="310" s="1"/>
  <c r="AZ48" i="310" s="1"/>
  <c r="BA48" i="310" s="1"/>
  <c r="BB48" i="310" s="1"/>
  <c r="BC48" i="310" s="1"/>
  <c r="BD48" i="310" s="1"/>
  <c r="BE48" i="310" s="1"/>
  <c r="AX44" i="310"/>
  <c r="AY44" i="310" s="1"/>
  <c r="AZ44" i="310" s="1"/>
  <c r="BA44" i="310" s="1"/>
  <c r="BB44" i="310" s="1"/>
  <c r="BC44" i="310" s="1"/>
  <c r="BD44" i="310" s="1"/>
  <c r="BE44" i="310" s="1"/>
  <c r="AK37" i="310"/>
  <c r="AO32" i="310"/>
  <c r="AX19" i="310"/>
  <c r="AA32" i="310"/>
  <c r="J49" i="311"/>
  <c r="AL37" i="310"/>
  <c r="AA35" i="310"/>
  <c r="AX43" i="312"/>
  <c r="AY43" i="312" s="1"/>
  <c r="AZ43" i="312" s="1"/>
  <c r="BA43" i="312" s="1"/>
  <c r="BB43" i="312" s="1"/>
  <c r="BC43" i="312" s="1"/>
  <c r="BD43" i="312" s="1"/>
  <c r="BE43" i="312" s="1"/>
  <c r="AC20" i="310"/>
  <c r="AD20" i="310" s="1"/>
  <c r="AB37" i="310"/>
  <c r="AB29" i="310"/>
  <c r="AR11" i="310"/>
  <c r="C59" i="14"/>
  <c r="N45" i="311" l="1"/>
  <c r="N49" i="311" s="1"/>
  <c r="O43" i="311"/>
  <c r="O45" i="311" s="1"/>
  <c r="O49" i="311" s="1"/>
  <c r="P43" i="311"/>
  <c r="AO38" i="312"/>
  <c r="AP38" i="312"/>
  <c r="AQ39" i="312"/>
  <c r="AR39" i="312" s="1"/>
  <c r="AM42" i="310"/>
  <c r="AN47" i="310"/>
  <c r="AR40" i="310"/>
  <c r="AQ40" i="310"/>
  <c r="BK21" i="311"/>
  <c r="BJ54" i="311"/>
  <c r="BL52" i="310"/>
  <c r="BM8" i="310"/>
  <c r="X44" i="310"/>
  <c r="X48" i="310" s="1"/>
  <c r="Y30" i="310"/>
  <c r="Y44" i="310" s="1"/>
  <c r="Y48" i="310" s="1"/>
  <c r="BA21" i="312"/>
  <c r="AZ52" i="312"/>
  <c r="AP39" i="310"/>
  <c r="AK44" i="310"/>
  <c r="AK48" i="310" s="1"/>
  <c r="AL45" i="310"/>
  <c r="AM34" i="311"/>
  <c r="AM45" i="311" s="1"/>
  <c r="AM49" i="311" s="1"/>
  <c r="AM47" i="310"/>
  <c r="AD34" i="310"/>
  <c r="AY47" i="312"/>
  <c r="AX55" i="312"/>
  <c r="BK51" i="312"/>
  <c r="BL8" i="312"/>
  <c r="BN52" i="312"/>
  <c r="BO21" i="312"/>
  <c r="BA51" i="312"/>
  <c r="BB8" i="312"/>
  <c r="AP39" i="312"/>
  <c r="AO34" i="312"/>
  <c r="AN46" i="310"/>
  <c r="AJ21" i="310"/>
  <c r="AL42" i="310"/>
  <c r="BN47" i="312"/>
  <c r="BM55" i="312"/>
  <c r="AM20" i="310"/>
  <c r="AP20" i="310" s="1"/>
  <c r="AM46" i="312"/>
  <c r="AN45" i="312"/>
  <c r="AN46" i="312" s="1"/>
  <c r="Z21" i="310"/>
  <c r="Z53" i="310" s="1"/>
  <c r="AA11" i="310"/>
  <c r="AA42" i="310"/>
  <c r="BA52" i="310"/>
  <c r="BB8" i="310"/>
  <c r="AN30" i="312"/>
  <c r="AQ30" i="310"/>
  <c r="AR30" i="310" s="1"/>
  <c r="AN31" i="310"/>
  <c r="AP31" i="310" s="1"/>
  <c r="AO19" i="312"/>
  <c r="AO32" i="312"/>
  <c r="AP32" i="312" s="1"/>
  <c r="AA11" i="311"/>
  <c r="AB11" i="311" s="1"/>
  <c r="AB21" i="311" s="1"/>
  <c r="AB54" i="311" s="1"/>
  <c r="AA34" i="310"/>
  <c r="AB34" i="310" s="1"/>
  <c r="AL19" i="310"/>
  <c r="AM19" i="310" s="1"/>
  <c r="AB32" i="310"/>
  <c r="AA39" i="310"/>
  <c r="AR38" i="312"/>
  <c r="AP36" i="312"/>
  <c r="AQ36" i="312" s="1"/>
  <c r="W49" i="311"/>
  <c r="AQ32" i="310"/>
  <c r="AR32" i="310" s="1"/>
  <c r="AQ38" i="312"/>
  <c r="AN37" i="312"/>
  <c r="AK18" i="310"/>
  <c r="AK43" i="312"/>
  <c r="AC29" i="310"/>
  <c r="AD29" i="310"/>
  <c r="AY19" i="310"/>
  <c r="AZ19" i="310" s="1"/>
  <c r="BA19" i="310" s="1"/>
  <c r="BB19" i="310" s="1"/>
  <c r="BC19" i="310" s="1"/>
  <c r="BD19" i="310" s="1"/>
  <c r="BE19" i="310" s="1"/>
  <c r="AX21" i="310"/>
  <c r="AM37" i="310"/>
  <c r="AL35" i="312"/>
  <c r="AL44" i="310"/>
  <c r="AL48" i="310" s="1"/>
  <c r="AA31" i="310"/>
  <c r="BL53" i="310"/>
  <c r="BM21" i="310"/>
  <c r="AA39" i="311"/>
  <c r="AA45" i="311" s="1"/>
  <c r="AA49" i="311" s="1"/>
  <c r="AM29" i="310"/>
  <c r="AN20" i="310"/>
  <c r="AO20" i="310" s="1"/>
  <c r="AO30" i="312"/>
  <c r="AJ44" i="310"/>
  <c r="AD42" i="311"/>
  <c r="AM38" i="310"/>
  <c r="AC38" i="310"/>
  <c r="AM35" i="310"/>
  <c r="AM45" i="310"/>
  <c r="AN45" i="310" s="1"/>
  <c r="AO31" i="310"/>
  <c r="AQ31" i="310" s="1"/>
  <c r="BO8" i="311"/>
  <c r="BN53" i="311"/>
  <c r="M45" i="311"/>
  <c r="AD38" i="310"/>
  <c r="AL33" i="312"/>
  <c r="AM33" i="312" s="1"/>
  <c r="AB35" i="310"/>
  <c r="AO20" i="312"/>
  <c r="AR20" i="312" s="1"/>
  <c r="AR21" i="312" s="1"/>
  <c r="AC34" i="310"/>
  <c r="K41" i="12"/>
  <c r="L21" i="12"/>
  <c r="K42" i="17"/>
  <c r="D41" i="12"/>
  <c r="L37" i="17"/>
  <c r="L41" i="12"/>
  <c r="F41" i="12"/>
  <c r="N41" i="12"/>
  <c r="G42" i="17"/>
  <c r="C41" i="12"/>
  <c r="F42" i="17"/>
  <c r="L28" i="17"/>
  <c r="I41" i="12"/>
  <c r="E53" i="14"/>
  <c r="D53" i="14" s="1"/>
  <c r="M40" i="12"/>
  <c r="M41" i="12" s="1"/>
  <c r="E41" i="12"/>
  <c r="N42" i="17"/>
  <c r="G41" i="12"/>
  <c r="J41" i="12"/>
  <c r="L32" i="17"/>
  <c r="E42" i="17"/>
  <c r="M41" i="17"/>
  <c r="M42" i="17" s="1"/>
  <c r="L32" i="12"/>
  <c r="L28" i="12"/>
  <c r="AD7" i="55"/>
  <c r="H42" i="17"/>
  <c r="L39" i="12"/>
  <c r="I53" i="14"/>
  <c r="C42" i="17"/>
  <c r="L37" i="12"/>
  <c r="H41" i="12"/>
  <c r="L21" i="17"/>
  <c r="D42" i="17"/>
  <c r="J42" i="17"/>
  <c r="AD11" i="55"/>
  <c r="I42" i="17"/>
  <c r="D58" i="14"/>
  <c r="I58" i="14"/>
  <c r="C46" i="11"/>
  <c r="M45" i="11"/>
  <c r="AR39" i="310" l="1"/>
  <c r="AQ20" i="310"/>
  <c r="AQ21" i="310" s="1"/>
  <c r="AQ53" i="310" s="1"/>
  <c r="AQ32" i="312"/>
  <c r="AR32" i="312"/>
  <c r="AC31" i="310"/>
  <c r="M49" i="311"/>
  <c r="P49" i="311" s="1"/>
  <c r="P45" i="311"/>
  <c r="AO21" i="312"/>
  <c r="AO52" i="312" s="1"/>
  <c r="BO47" i="312"/>
  <c r="BN55" i="312"/>
  <c r="AJ48" i="310"/>
  <c r="BM53" i="310"/>
  <c r="BN21" i="310"/>
  <c r="AC35" i="310"/>
  <c r="AD35" i="310" s="1"/>
  <c r="AK47" i="312"/>
  <c r="AN33" i="312"/>
  <c r="BB52" i="310"/>
  <c r="BC8" i="310"/>
  <c r="AR20" i="310"/>
  <c r="AN42" i="310"/>
  <c r="AO42" i="310" s="1"/>
  <c r="AP42" i="310" s="1"/>
  <c r="BO52" i="312"/>
  <c r="BP21" i="312"/>
  <c r="AQ39" i="310"/>
  <c r="AP34" i="312"/>
  <c r="AQ34" i="312" s="1"/>
  <c r="AR34" i="312" s="1"/>
  <c r="AX53" i="310"/>
  <c r="AY21" i="310"/>
  <c r="AB31" i="310"/>
  <c r="AD31" i="310" s="1"/>
  <c r="AM44" i="310"/>
  <c r="AM48" i="310" s="1"/>
  <c r="AN29" i="310"/>
  <c r="AO47" i="310"/>
  <c r="AK21" i="310"/>
  <c r="AK53" i="310" s="1"/>
  <c r="AL18" i="310"/>
  <c r="AR36" i="312"/>
  <c r="AO37" i="312"/>
  <c r="AB39" i="311"/>
  <c r="AB45" i="311" s="1"/>
  <c r="AB49" i="311" s="1"/>
  <c r="AP30" i="312"/>
  <c r="AA21" i="310"/>
  <c r="AA53" i="310" s="1"/>
  <c r="AB11" i="310"/>
  <c r="AO45" i="312"/>
  <c r="AO46" i="310"/>
  <c r="AN35" i="310"/>
  <c r="AC32" i="310"/>
  <c r="AD32" i="310" s="1"/>
  <c r="BA52" i="312"/>
  <c r="BB21" i="312"/>
  <c r="BL21" i="311"/>
  <c r="BK54" i="311"/>
  <c r="AM35" i="312"/>
  <c r="AM43" i="312" s="1"/>
  <c r="AM47" i="312" s="1"/>
  <c r="AM55" i="312" s="1"/>
  <c r="AA21" i="311"/>
  <c r="AA54" i="311" s="1"/>
  <c r="AD11" i="311"/>
  <c r="AD21" i="311" s="1"/>
  <c r="BL51" i="312"/>
  <c r="BM8" i="312"/>
  <c r="BO53" i="311"/>
  <c r="BP8" i="311"/>
  <c r="AB42" i="310"/>
  <c r="AC42" i="310" s="1"/>
  <c r="AL43" i="312"/>
  <c r="AL47" i="312" s="1"/>
  <c r="AL55" i="312" s="1"/>
  <c r="AO45" i="310"/>
  <c r="AP45" i="310" s="1"/>
  <c r="AN38" i="310"/>
  <c r="AO38" i="310" s="1"/>
  <c r="AD45" i="311"/>
  <c r="AN19" i="310"/>
  <c r="AB39" i="310"/>
  <c r="AC39" i="310" s="1"/>
  <c r="AD39" i="310" s="1"/>
  <c r="AR31" i="310"/>
  <c r="AN34" i="311"/>
  <c r="AC11" i="310"/>
  <c r="AC21" i="310" s="1"/>
  <c r="AC53" i="310" s="1"/>
  <c r="AJ53" i="310"/>
  <c r="AP46" i="310"/>
  <c r="BB51" i="312"/>
  <c r="BC8" i="312"/>
  <c r="AY55" i="312"/>
  <c r="AZ47" i="312"/>
  <c r="AA30" i="310"/>
  <c r="AB30" i="310" s="1"/>
  <c r="AB44" i="310" s="1"/>
  <c r="AB48" i="310" s="1"/>
  <c r="BM52" i="310"/>
  <c r="BN8" i="310"/>
  <c r="AP38" i="310"/>
  <c r="AN37" i="310"/>
  <c r="AO37" i="310" s="1"/>
  <c r="L43" i="12"/>
  <c r="O40" i="12"/>
  <c r="O41" i="12" s="1"/>
  <c r="O41" i="17"/>
  <c r="O42" i="17" s="1"/>
  <c r="L43" i="17"/>
  <c r="AC17" i="55"/>
  <c r="AC21" i="55" s="1"/>
  <c r="K46" i="11"/>
  <c r="D44" i="11"/>
  <c r="D46" i="11" s="1"/>
  <c r="G46" i="11"/>
  <c r="L44" i="11"/>
  <c r="L46" i="11" s="1"/>
  <c r="I46" i="11"/>
  <c r="J46" i="11"/>
  <c r="AP19" i="310" l="1"/>
  <c r="AO19" i="310"/>
  <c r="BA47" i="312"/>
  <c r="AZ55" i="312"/>
  <c r="AP37" i="310"/>
  <c r="BP53" i="311"/>
  <c r="BQ8" i="311"/>
  <c r="AO33" i="312"/>
  <c r="AP35" i="310"/>
  <c r="AO46" i="312"/>
  <c r="AP45" i="312"/>
  <c r="AQ30" i="312"/>
  <c r="BP52" i="312"/>
  <c r="BQ21" i="312"/>
  <c r="AO29" i="310"/>
  <c r="BN53" i="310"/>
  <c r="BO21" i="310"/>
  <c r="AP37" i="312"/>
  <c r="AR37" i="312" s="1"/>
  <c r="AR19" i="310"/>
  <c r="BC51" i="312"/>
  <c r="BD8" i="312"/>
  <c r="AN45" i="311"/>
  <c r="AO34" i="311"/>
  <c r="AO45" i="311" s="1"/>
  <c r="AO49" i="311" s="1"/>
  <c r="AY53" i="310"/>
  <c r="AZ21" i="310"/>
  <c r="BC52" i="310"/>
  <c r="BD8" i="310"/>
  <c r="BL54" i="311"/>
  <c r="BM21" i="311"/>
  <c r="AO35" i="310"/>
  <c r="AB21" i="310"/>
  <c r="AB53" i="310" s="1"/>
  <c r="AD11" i="310"/>
  <c r="AD21" i="310" s="1"/>
  <c r="AL21" i="310"/>
  <c r="AN18" i="310"/>
  <c r="AN21" i="310" s="1"/>
  <c r="AN53" i="310" s="1"/>
  <c r="AM18" i="310"/>
  <c r="AQ37" i="312"/>
  <c r="AK55" i="312"/>
  <c r="AD42" i="310"/>
  <c r="BN52" i="310"/>
  <c r="BO8" i="310"/>
  <c r="AA44" i="310"/>
  <c r="AA48" i="310" s="1"/>
  <c r="AD30" i="310"/>
  <c r="AD44" i="310" s="1"/>
  <c r="AD48" i="310" s="1"/>
  <c r="AC30" i="310"/>
  <c r="AC44" i="310" s="1"/>
  <c r="AC48" i="310" s="1"/>
  <c r="AQ38" i="310"/>
  <c r="AR38" i="310" s="1"/>
  <c r="BM51" i="312"/>
  <c r="BN8" i="312"/>
  <c r="AN35" i="312"/>
  <c r="AN43" i="312" s="1"/>
  <c r="BB52" i="312"/>
  <c r="BC21" i="312"/>
  <c r="AQ45" i="310"/>
  <c r="AR45" i="310" s="1"/>
  <c r="AQ46" i="310"/>
  <c r="AR46" i="310" s="1"/>
  <c r="AN44" i="310"/>
  <c r="AN48" i="310" s="1"/>
  <c r="AQ42" i="310"/>
  <c r="AR42" i="310" s="1"/>
  <c r="AD39" i="311"/>
  <c r="AQ34" i="311"/>
  <c r="AQ45" i="311" s="1"/>
  <c r="AQ49" i="311" s="1"/>
  <c r="BO55" i="312"/>
  <c r="BP47" i="312"/>
  <c r="AP47" i="310"/>
  <c r="AQ47" i="310" s="1"/>
  <c r="AQ35" i="310"/>
  <c r="M46" i="11"/>
  <c r="M44" i="11"/>
  <c r="C42" i="11"/>
  <c r="C39" i="11"/>
  <c r="C33" i="11"/>
  <c r="C28" i="11"/>
  <c r="C7" i="11"/>
  <c r="C20" i="11"/>
  <c r="AN47" i="312" l="1"/>
  <c r="AR47" i="310"/>
  <c r="AQ37" i="310"/>
  <c r="AR37" i="310" s="1"/>
  <c r="AL53" i="310"/>
  <c r="AR35" i="310"/>
  <c r="AN49" i="311"/>
  <c r="AR49" i="311" s="1"/>
  <c r="AR45" i="311"/>
  <c r="AP46" i="312"/>
  <c r="AQ45" i="312"/>
  <c r="AQ46" i="312" s="1"/>
  <c r="AP33" i="312"/>
  <c r="BD52" i="310"/>
  <c r="BE8" i="310"/>
  <c r="BE52" i="310" s="1"/>
  <c r="BO53" i="310"/>
  <c r="BP21" i="310"/>
  <c r="BQ47" i="312"/>
  <c r="BP55" i="312"/>
  <c r="AO35" i="312"/>
  <c r="AO43" i="312" s="1"/>
  <c r="BM54" i="311"/>
  <c r="BN21" i="311"/>
  <c r="AZ53" i="310"/>
  <c r="BA21" i="310"/>
  <c r="BD51" i="312"/>
  <c r="BE8" i="312"/>
  <c r="BE51" i="312" s="1"/>
  <c r="AR45" i="312"/>
  <c r="BQ53" i="311"/>
  <c r="BR8" i="311"/>
  <c r="BR53" i="311" s="1"/>
  <c r="BQ52" i="312"/>
  <c r="BR21" i="312"/>
  <c r="BR52" i="312" s="1"/>
  <c r="AP35" i="312"/>
  <c r="AQ35" i="312" s="1"/>
  <c r="BC52" i="312"/>
  <c r="BD21" i="312"/>
  <c r="BN51" i="312"/>
  <c r="BO8" i="312"/>
  <c r="BO52" i="310"/>
  <c r="BP8" i="310"/>
  <c r="AM21" i="310"/>
  <c r="AM53" i="310" s="1"/>
  <c r="AP18" i="310"/>
  <c r="AP21" i="310" s="1"/>
  <c r="AP53" i="310" s="1"/>
  <c r="AO18" i="310"/>
  <c r="AO21" i="310" s="1"/>
  <c r="AO53" i="310" s="1"/>
  <c r="AO44" i="310"/>
  <c r="AO48" i="310" s="1"/>
  <c r="AR48" i="310" s="1"/>
  <c r="AQ29" i="310"/>
  <c r="AQ44" i="310" s="1"/>
  <c r="AQ48" i="310" s="1"/>
  <c r="AP29" i="310"/>
  <c r="AP44" i="310" s="1"/>
  <c r="AP48" i="310" s="1"/>
  <c r="AR30" i="312"/>
  <c r="AR46" i="312"/>
  <c r="BB47" i="312"/>
  <c r="BA55" i="312"/>
  <c r="AR34" i="311"/>
  <c r="C49" i="11"/>
  <c r="AO47" i="312" l="1"/>
  <c r="AO55" i="312" s="1"/>
  <c r="BC47" i="312"/>
  <c r="BB55" i="312"/>
  <c r="BP8" i="312"/>
  <c r="BO51" i="312"/>
  <c r="AR35" i="312"/>
  <c r="BR47" i="312"/>
  <c r="BR55" i="312" s="1"/>
  <c r="BQ55" i="312"/>
  <c r="AR29" i="310"/>
  <c r="BA53" i="310"/>
  <c r="BB21" i="310"/>
  <c r="AR44" i="310"/>
  <c r="BP53" i="310"/>
  <c r="BQ21" i="310"/>
  <c r="AP43" i="312"/>
  <c r="AP47" i="312" s="1"/>
  <c r="AP55" i="312" s="1"/>
  <c r="AN55" i="312"/>
  <c r="BP52" i="310"/>
  <c r="BQ8" i="310"/>
  <c r="BD52" i="312"/>
  <c r="BE21" i="312"/>
  <c r="BE52" i="312" s="1"/>
  <c r="BN54" i="311"/>
  <c r="BO21" i="311"/>
  <c r="AQ33" i="312"/>
  <c r="AR21" i="310"/>
  <c r="E22" i="18"/>
  <c r="E24" i="18" s="1"/>
  <c r="N20" i="18"/>
  <c r="N19" i="18"/>
  <c r="N18" i="18"/>
  <c r="N16" i="18"/>
  <c r="BP21" i="311" l="1"/>
  <c r="BO54" i="311"/>
  <c r="BQ52" i="310"/>
  <c r="BR8" i="310"/>
  <c r="BR52" i="310" s="1"/>
  <c r="BC21" i="310"/>
  <c r="BB53" i="310"/>
  <c r="BQ53" i="310"/>
  <c r="BR21" i="310"/>
  <c r="BR53" i="310" s="1"/>
  <c r="BC55" i="312"/>
  <c r="BD47" i="312"/>
  <c r="AR43" i="312"/>
  <c r="AQ43" i="312"/>
  <c r="AQ47" i="312" s="1"/>
  <c r="AR33" i="312"/>
  <c r="BP51" i="312"/>
  <c r="BQ8" i="312"/>
  <c r="E15" i="18"/>
  <c r="E17" i="18" s="1"/>
  <c r="C15" i="18"/>
  <c r="K15" i="18"/>
  <c r="BQ51" i="312" l="1"/>
  <c r="BR8" i="312"/>
  <c r="BR51" i="312" s="1"/>
  <c r="AQ55" i="312"/>
  <c r="AR47" i="312"/>
  <c r="AR55" i="312" s="1"/>
  <c r="BE47" i="312"/>
  <c r="BE55" i="312" s="1"/>
  <c r="BD55" i="312"/>
  <c r="BC53" i="310"/>
  <c r="BD21" i="310"/>
  <c r="BP54" i="311"/>
  <c r="BQ21" i="311"/>
  <c r="A3" i="230"/>
  <c r="BD53" i="310" l="1"/>
  <c r="BE21" i="310"/>
  <c r="BE53" i="310" s="1"/>
  <c r="BQ54" i="311"/>
  <c r="BR21" i="311"/>
  <c r="BR54" i="311" s="1"/>
  <c r="O16" i="105"/>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J23" i="93" l="1"/>
  <c r="I23" i="93"/>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6" i="14"/>
  <c r="J60" i="14"/>
  <c r="J20" i="14"/>
  <c r="J18" i="14"/>
  <c r="J16" i="14"/>
  <c r="C17" i="14"/>
  <c r="J14" i="14"/>
  <c r="J12" i="14"/>
  <c r="A3" i="14"/>
  <c r="B23" i="93"/>
  <c r="N21" i="93"/>
  <c r="N20" i="93"/>
  <c r="N19" i="93"/>
  <c r="N18" i="93"/>
  <c r="N17" i="93"/>
  <c r="N16" i="93"/>
  <c r="N15" i="93"/>
  <c r="N14" i="93"/>
  <c r="N13" i="93"/>
  <c r="N12" i="93"/>
  <c r="N11" i="93"/>
  <c r="N10" i="93"/>
  <c r="N9"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5" i="14"/>
  <c r="C30" i="105"/>
  <c r="H9" i="105"/>
  <c r="G30" i="105"/>
  <c r="F9" i="106"/>
  <c r="E16" i="106"/>
  <c r="E20" i="106" s="1"/>
  <c r="E23" i="106" s="1"/>
  <c r="F30" i="105"/>
  <c r="N23" i="93"/>
  <c r="E30" i="105"/>
  <c r="E27" i="104"/>
  <c r="D25" i="106" l="1"/>
  <c r="G24" i="18"/>
  <c r="E25" i="106"/>
  <c r="C27" i="104"/>
  <c r="C29" i="104" s="1"/>
  <c r="O24" i="104"/>
  <c r="O27" i="104" s="1"/>
  <c r="O29" i="104" s="1"/>
  <c r="O30" i="105"/>
  <c r="C23" i="106"/>
  <c r="C25" i="106" s="1"/>
  <c r="C67" i="14"/>
  <c r="G9" i="106"/>
  <c r="F16" i="106"/>
  <c r="I9" i="105"/>
  <c r="H30" i="105"/>
  <c r="L5" i="11" l="1"/>
  <c r="K49" i="230"/>
  <c r="K52" i="230" s="1"/>
  <c r="M17" i="12"/>
  <c r="D23" i="230"/>
  <c r="M23" i="230" s="1"/>
  <c r="M38" i="17"/>
  <c r="M10" i="12"/>
  <c r="L50" i="230"/>
  <c r="D50" i="230"/>
  <c r="M50" i="230" s="1"/>
  <c r="M29" i="17"/>
  <c r="M36" i="12"/>
  <c r="L12" i="230"/>
  <c r="AB17" i="55"/>
  <c r="M16" i="12"/>
  <c r="AD6" i="55"/>
  <c r="D34" i="230"/>
  <c r="M34" i="230" s="1"/>
  <c r="G39" i="230"/>
  <c r="M31" i="12"/>
  <c r="M22" i="17"/>
  <c r="M13" i="18"/>
  <c r="N13" i="18"/>
  <c r="X17" i="55"/>
  <c r="M24" i="17"/>
  <c r="M24" i="12"/>
  <c r="W17" i="55"/>
  <c r="D14" i="230"/>
  <c r="M14" i="230" s="1"/>
  <c r="J7" i="230"/>
  <c r="M33" i="17"/>
  <c r="M12" i="17"/>
  <c r="L29" i="230"/>
  <c r="I33" i="230"/>
  <c r="AD20" i="55"/>
  <c r="J33" i="230"/>
  <c r="G49" i="230"/>
  <c r="G52" i="230" s="1"/>
  <c r="M14" i="12"/>
  <c r="L26" i="230"/>
  <c r="N21" i="18"/>
  <c r="L31" i="230"/>
  <c r="D17" i="230"/>
  <c r="M17" i="230" s="1"/>
  <c r="M35" i="12"/>
  <c r="L22" i="230"/>
  <c r="G59" i="14"/>
  <c r="M18" i="17"/>
  <c r="AD12" i="55"/>
  <c r="L40" i="230"/>
  <c r="L42" i="230" s="1"/>
  <c r="I42" i="230"/>
  <c r="AA17" i="55"/>
  <c r="N12" i="18"/>
  <c r="M12" i="18"/>
  <c r="R17" i="55"/>
  <c r="M25" i="17"/>
  <c r="L14" i="230"/>
  <c r="I56" i="14"/>
  <c r="M22" i="12"/>
  <c r="K39" i="230"/>
  <c r="D24" i="230"/>
  <c r="M24" i="230" s="1"/>
  <c r="I7" i="230"/>
  <c r="L5" i="230"/>
  <c r="L7" i="230" s="1"/>
  <c r="N17" i="55"/>
  <c r="M11" i="17"/>
  <c r="L17" i="230"/>
  <c r="M19" i="17"/>
  <c r="L25" i="230"/>
  <c r="J49" i="230"/>
  <c r="J52" i="230" s="1"/>
  <c r="G17" i="55"/>
  <c r="Q17" i="55"/>
  <c r="L23" i="230"/>
  <c r="D48" i="230"/>
  <c r="M48" i="230" s="1"/>
  <c r="L48" i="230"/>
  <c r="M31" i="17"/>
  <c r="M27" i="17"/>
  <c r="M30" i="17"/>
  <c r="L47" i="230"/>
  <c r="I49" i="230"/>
  <c r="D47" i="230"/>
  <c r="D30" i="230"/>
  <c r="M30" i="230" s="1"/>
  <c r="M13" i="12"/>
  <c r="M38" i="12"/>
  <c r="F59" i="14"/>
  <c r="L30" i="230"/>
  <c r="D9" i="230"/>
  <c r="M9" i="230" s="1"/>
  <c r="L51" i="230"/>
  <c r="D51" i="230"/>
  <c r="M51" i="230" s="1"/>
  <c r="M26" i="17"/>
  <c r="D10" i="230"/>
  <c r="M10" i="230" s="1"/>
  <c r="K28" i="230"/>
  <c r="AD9" i="55"/>
  <c r="M18" i="12"/>
  <c r="Y17" i="55"/>
  <c r="M13" i="17"/>
  <c r="N11" i="18"/>
  <c r="M11" i="18"/>
  <c r="D35" i="230"/>
  <c r="M35" i="230" s="1"/>
  <c r="D36" i="230"/>
  <c r="M36" i="230" s="1"/>
  <c r="O17" i="55"/>
  <c r="AD19" i="55"/>
  <c r="D29" i="230"/>
  <c r="G33" i="230"/>
  <c r="AD13" i="55"/>
  <c r="AD10" i="55"/>
  <c r="AD18" i="55"/>
  <c r="M23" i="12"/>
  <c r="H59" i="14"/>
  <c r="E59" i="14"/>
  <c r="M15" i="12"/>
  <c r="M17" i="55"/>
  <c r="M16" i="17"/>
  <c r="M30" i="12"/>
  <c r="M33" i="12"/>
  <c r="U17" i="55"/>
  <c r="K7" i="230"/>
  <c r="D22" i="230"/>
  <c r="M22" i="230" s="1"/>
  <c r="V17" i="55"/>
  <c r="L18" i="230"/>
  <c r="J39" i="230"/>
  <c r="D17" i="55"/>
  <c r="D52" i="14"/>
  <c r="J52" i="14" s="1"/>
  <c r="M20" i="12"/>
  <c r="M25" i="12"/>
  <c r="E17" i="55"/>
  <c r="M36" i="17"/>
  <c r="D54" i="14"/>
  <c r="J54" i="14" s="1"/>
  <c r="L37" i="230"/>
  <c r="M8" i="12"/>
  <c r="M20" i="17"/>
  <c r="K42" i="230"/>
  <c r="P17" i="55"/>
  <c r="D5" i="230"/>
  <c r="D7" i="230" s="1"/>
  <c r="M7" i="230" s="1"/>
  <c r="G7" i="230"/>
  <c r="K17" i="55"/>
  <c r="L34" i="230"/>
  <c r="I39" i="230"/>
  <c r="L16" i="230"/>
  <c r="L24" i="230"/>
  <c r="I55" i="14"/>
  <c r="M34" i="12"/>
  <c r="G20" i="230"/>
  <c r="D8" i="230"/>
  <c r="L10" i="230"/>
  <c r="M34" i="17"/>
  <c r="D40" i="230"/>
  <c r="D42" i="230" s="1"/>
  <c r="M42" i="230" s="1"/>
  <c r="G42" i="230"/>
  <c r="S17" i="55"/>
  <c r="M27" i="12"/>
  <c r="Z17" i="55"/>
  <c r="J17" i="55"/>
  <c r="D55" i="14"/>
  <c r="J55" i="14" s="1"/>
  <c r="L17" i="55"/>
  <c r="M17" i="17"/>
  <c r="M29" i="12"/>
  <c r="K33" i="230"/>
  <c r="D15" i="230"/>
  <c r="M15" i="230" s="1"/>
  <c r="L9" i="230"/>
  <c r="D26" i="230"/>
  <c r="M26" i="230" s="1"/>
  <c r="D57" i="14"/>
  <c r="J57" i="14" s="1"/>
  <c r="D37" i="230"/>
  <c r="M37" i="230" s="1"/>
  <c r="M26" i="12"/>
  <c r="I25" i="14"/>
  <c r="M23" i="17"/>
  <c r="D13" i="230"/>
  <c r="M13" i="230" s="1"/>
  <c r="D25" i="14"/>
  <c r="J25" i="14" s="1"/>
  <c r="D31" i="230"/>
  <c r="M31" i="230" s="1"/>
  <c r="I57" i="14"/>
  <c r="M10" i="17"/>
  <c r="L35" i="230"/>
  <c r="M14" i="17"/>
  <c r="M12" i="12"/>
  <c r="I52" i="14"/>
  <c r="I17" i="55"/>
  <c r="J28" i="230"/>
  <c r="L15" i="230"/>
  <c r="C17" i="55"/>
  <c r="AD8" i="55"/>
  <c r="T17" i="55"/>
  <c r="M19" i="12"/>
  <c r="D11" i="230"/>
  <c r="M11" i="230" s="1"/>
  <c r="M15" i="17"/>
  <c r="M11" i="12"/>
  <c r="D16" i="230"/>
  <c r="M16" i="230" s="1"/>
  <c r="M14" i="18"/>
  <c r="N14" i="18"/>
  <c r="M35" i="17"/>
  <c r="L21" i="230"/>
  <c r="I28" i="230"/>
  <c r="L11" i="230"/>
  <c r="D18" i="230"/>
  <c r="M18" i="230" s="1"/>
  <c r="F17" i="55"/>
  <c r="D25" i="230"/>
  <c r="M25" i="230" s="1"/>
  <c r="AD15" i="55"/>
  <c r="K20" i="230"/>
  <c r="D21" i="230"/>
  <c r="M21" i="230" s="1"/>
  <c r="G28" i="230"/>
  <c r="I54" i="14"/>
  <c r="AD14" i="55"/>
  <c r="M8" i="17"/>
  <c r="H17" i="55"/>
  <c r="L36" i="230"/>
  <c r="L39" i="230" s="1"/>
  <c r="I20" i="230"/>
  <c r="L8" i="230"/>
  <c r="N23" i="18"/>
  <c r="J20" i="230"/>
  <c r="J42" i="230"/>
  <c r="G15" i="18"/>
  <c r="L13" i="230"/>
  <c r="D12" i="230"/>
  <c r="M12" i="230" s="1"/>
  <c r="I52" i="230"/>
  <c r="L49" i="230"/>
  <c r="M8" i="230"/>
  <c r="I30" i="105"/>
  <c r="J9" i="105"/>
  <c r="F20" i="106"/>
  <c r="H9" i="106"/>
  <c r="G16" i="106"/>
  <c r="L52" i="230" l="1"/>
  <c r="L20" i="230"/>
  <c r="M5" i="230"/>
  <c r="D56" i="14"/>
  <c r="J56" i="14" s="1"/>
  <c r="AD17" i="55"/>
  <c r="G44" i="230"/>
  <c r="I44" i="230"/>
  <c r="J44" i="230"/>
  <c r="D33" i="230"/>
  <c r="M33" i="230" s="1"/>
  <c r="D28" i="230"/>
  <c r="M28" i="230" s="1"/>
  <c r="M29" i="230"/>
  <c r="D39" i="230"/>
  <c r="M39" i="230" s="1"/>
  <c r="M40" i="230"/>
  <c r="L28" i="230"/>
  <c r="M47" i="230"/>
  <c r="D49" i="230"/>
  <c r="D20" i="230"/>
  <c r="M20" i="230" s="1"/>
  <c r="K44" i="230"/>
  <c r="L33" i="230"/>
  <c r="L44" i="230" s="1"/>
  <c r="G20" i="106"/>
  <c r="G23" i="106" s="1"/>
  <c r="G25" i="106" s="1"/>
  <c r="F23" i="106"/>
  <c r="F25" i="106" s="1"/>
  <c r="I9" i="106"/>
  <c r="H16" i="106"/>
  <c r="H20" i="106" s="1"/>
  <c r="H23" i="106" s="1"/>
  <c r="J30" i="105"/>
  <c r="K9" i="105"/>
  <c r="D44" i="230" l="1"/>
  <c r="M44" i="230" s="1"/>
  <c r="D52" i="230"/>
  <c r="M52" i="230" s="1"/>
  <c r="M49" i="230"/>
  <c r="I16" i="106"/>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7" i="18" l="1"/>
  <c r="L22" i="18" l="1"/>
  <c r="L24" i="18" s="1"/>
  <c r="J22" i="18"/>
  <c r="J24" i="18" s="1"/>
  <c r="M23" i="18"/>
  <c r="I22" i="18"/>
  <c r="N22" i="18" s="1"/>
  <c r="M21" i="18"/>
  <c r="M22" i="18" l="1"/>
  <c r="M24" i="18" s="1"/>
  <c r="I24" i="18"/>
  <c r="N24" i="18" s="1"/>
  <c r="I20" i="11" l="1"/>
  <c r="L8" i="11"/>
  <c r="N9" i="17"/>
  <c r="I30" i="14"/>
  <c r="I39" i="12"/>
  <c r="N21" i="55"/>
  <c r="F32" i="17"/>
  <c r="D9" i="17"/>
  <c r="C9" i="12"/>
  <c r="D35" i="11"/>
  <c r="M35" i="11" s="1"/>
  <c r="L36" i="11"/>
  <c r="O27" i="12"/>
  <c r="O35" i="17"/>
  <c r="L12" i="11"/>
  <c r="D29" i="14"/>
  <c r="J29" i="14" s="1"/>
  <c r="D32" i="17"/>
  <c r="I38" i="14"/>
  <c r="N39" i="17"/>
  <c r="D42" i="14"/>
  <c r="J42" i="14" s="1"/>
  <c r="Z21" i="55"/>
  <c r="G39" i="12"/>
  <c r="AB21" i="55"/>
  <c r="O18" i="17"/>
  <c r="E39" i="17"/>
  <c r="M39" i="17"/>
  <c r="I48" i="14"/>
  <c r="D36" i="11"/>
  <c r="M36" i="11" s="1"/>
  <c r="H28" i="12"/>
  <c r="O12" i="12"/>
  <c r="I37" i="17"/>
  <c r="H32" i="17"/>
  <c r="G37" i="12"/>
  <c r="I42" i="14"/>
  <c r="E9" i="12"/>
  <c r="M9" i="12"/>
  <c r="N28" i="17"/>
  <c r="L14" i="11"/>
  <c r="L13" i="11"/>
  <c r="L23" i="11"/>
  <c r="H65" i="14"/>
  <c r="J28" i="12"/>
  <c r="H21" i="55"/>
  <c r="F9" i="12"/>
  <c r="L30" i="11"/>
  <c r="E9" i="17"/>
  <c r="M9" i="17"/>
  <c r="F21" i="55"/>
  <c r="I35" i="14"/>
  <c r="K37" i="12"/>
  <c r="I40" i="14"/>
  <c r="H28" i="17"/>
  <c r="O19" i="17"/>
  <c r="K39" i="11"/>
  <c r="I37" i="14"/>
  <c r="N9" i="12"/>
  <c r="I32" i="12"/>
  <c r="H9" i="17"/>
  <c r="I39" i="17"/>
  <c r="O26" i="17"/>
  <c r="O13" i="12"/>
  <c r="L17" i="11"/>
  <c r="D39" i="17"/>
  <c r="D47" i="14"/>
  <c r="J47" i="14" s="1"/>
  <c r="L29" i="11"/>
  <c r="I33" i="11"/>
  <c r="O12" i="17"/>
  <c r="D49" i="14"/>
  <c r="J49" i="14" s="1"/>
  <c r="J9" i="17"/>
  <c r="D36" i="14"/>
  <c r="J36" i="14" s="1"/>
  <c r="O31" i="12"/>
  <c r="F13" i="14"/>
  <c r="D8" i="14"/>
  <c r="J8" i="14" s="1"/>
  <c r="D9" i="11"/>
  <c r="M9" i="11" s="1"/>
  <c r="O24" i="17"/>
  <c r="O36" i="17"/>
  <c r="N21" i="12"/>
  <c r="E21" i="17"/>
  <c r="O10" i="17"/>
  <c r="O34" i="17"/>
  <c r="I43" i="14"/>
  <c r="D21" i="17"/>
  <c r="I33" i="14"/>
  <c r="O17" i="17"/>
  <c r="F37" i="17"/>
  <c r="O35" i="12"/>
  <c r="J54" i="11"/>
  <c r="J57" i="11" s="1"/>
  <c r="I9" i="14"/>
  <c r="I45" i="14"/>
  <c r="I42" i="11"/>
  <c r="L40" i="11"/>
  <c r="L42" i="11" s="1"/>
  <c r="E32" i="17"/>
  <c r="I61" i="14"/>
  <c r="G65" i="14"/>
  <c r="O15" i="17"/>
  <c r="I46" i="14"/>
  <c r="D28" i="14"/>
  <c r="J28" i="14" s="1"/>
  <c r="D33" i="14"/>
  <c r="J33" i="14" s="1"/>
  <c r="D17" i="11"/>
  <c r="M17" i="11" s="1"/>
  <c r="J39" i="12"/>
  <c r="C28" i="12"/>
  <c r="N32" i="12"/>
  <c r="K28" i="12"/>
  <c r="N21" i="17"/>
  <c r="I28" i="14"/>
  <c r="I21" i="17"/>
  <c r="D11" i="11"/>
  <c r="M11" i="11" s="1"/>
  <c r="N10" i="18"/>
  <c r="M10" i="18"/>
  <c r="O24" i="12"/>
  <c r="D50" i="14"/>
  <c r="J50" i="14" s="1"/>
  <c r="K9" i="12"/>
  <c r="L24" i="11"/>
  <c r="O23" i="12"/>
  <c r="D64" i="14"/>
  <c r="J64" i="14" s="1"/>
  <c r="N37" i="17"/>
  <c r="O25" i="12"/>
  <c r="K21" i="12"/>
  <c r="C39" i="17"/>
  <c r="N37" i="12"/>
  <c r="O25" i="17"/>
  <c r="O14" i="17"/>
  <c r="H21" i="17"/>
  <c r="H37" i="17"/>
  <c r="L34" i="11"/>
  <c r="I39" i="11"/>
  <c r="N8" i="18"/>
  <c r="I15" i="18"/>
  <c r="M8" i="18"/>
  <c r="D35" i="14"/>
  <c r="J35" i="14" s="1"/>
  <c r="D21" i="14"/>
  <c r="D26" i="11"/>
  <c r="M26" i="11" s="1"/>
  <c r="D46" i="14"/>
  <c r="J46" i="14" s="1"/>
  <c r="D16" i="11"/>
  <c r="M16" i="11" s="1"/>
  <c r="D45" i="14"/>
  <c r="J45" i="14" s="1"/>
  <c r="D41" i="14"/>
  <c r="J41" i="14" s="1"/>
  <c r="G28" i="17"/>
  <c r="E32" i="12"/>
  <c r="O29" i="12"/>
  <c r="L25" i="11"/>
  <c r="O13" i="17"/>
  <c r="D32" i="14"/>
  <c r="J32" i="14" s="1"/>
  <c r="J7" i="11"/>
  <c r="K7" i="11"/>
  <c r="I41" i="14"/>
  <c r="G39" i="17"/>
  <c r="K28" i="17"/>
  <c r="D39" i="12"/>
  <c r="D63" i="14"/>
  <c r="J63" i="14" s="1"/>
  <c r="I37" i="12"/>
  <c r="O27" i="17"/>
  <c r="H17" i="14"/>
  <c r="L21" i="55"/>
  <c r="I27" i="14"/>
  <c r="G28" i="12"/>
  <c r="D34" i="11"/>
  <c r="G39" i="11"/>
  <c r="L15" i="18"/>
  <c r="L17" i="18" s="1"/>
  <c r="O31" i="17"/>
  <c r="O21" i="55"/>
  <c r="D37" i="14"/>
  <c r="J37" i="14" s="1"/>
  <c r="M39" i="12"/>
  <c r="E39" i="12"/>
  <c r="C28" i="17"/>
  <c r="L31" i="11"/>
  <c r="F28" i="17"/>
  <c r="D21" i="11"/>
  <c r="M21" i="11" s="1"/>
  <c r="G28" i="11"/>
  <c r="O16" i="12"/>
  <c r="K21" i="17"/>
  <c r="Q21" i="55"/>
  <c r="Y21" i="55"/>
  <c r="H21" i="12"/>
  <c r="D9" i="12"/>
  <c r="O18" i="12"/>
  <c r="J21" i="55"/>
  <c r="L35" i="11"/>
  <c r="D37" i="12"/>
  <c r="D44" i="14"/>
  <c r="J44" i="14" s="1"/>
  <c r="G13" i="14"/>
  <c r="I8" i="14"/>
  <c r="T21" i="55"/>
  <c r="F39" i="12"/>
  <c r="K33" i="11"/>
  <c r="O30" i="12"/>
  <c r="J28" i="11"/>
  <c r="I50" i="14"/>
  <c r="O11" i="12"/>
  <c r="J32" i="12"/>
  <c r="I49" i="14"/>
  <c r="C37" i="12"/>
  <c r="D32" i="12"/>
  <c r="C21" i="17"/>
  <c r="G17" i="14"/>
  <c r="I15" i="14"/>
  <c r="I17" i="14" s="1"/>
  <c r="D10" i="11"/>
  <c r="M10" i="11" s="1"/>
  <c r="F28" i="12"/>
  <c r="D23" i="14"/>
  <c r="J23" i="14" s="1"/>
  <c r="L16" i="11"/>
  <c r="O33" i="17"/>
  <c r="E37" i="17"/>
  <c r="O11" i="17"/>
  <c r="I11" i="14"/>
  <c r="G42" i="11"/>
  <c r="D40" i="11"/>
  <c r="D42" i="11" s="1"/>
  <c r="I63" i="14"/>
  <c r="O20" i="17"/>
  <c r="I24" i="14"/>
  <c r="H32" i="12"/>
  <c r="H37" i="12"/>
  <c r="D28" i="17"/>
  <c r="D10" i="14"/>
  <c r="J10" i="14" s="1"/>
  <c r="J42" i="11"/>
  <c r="I31" i="14"/>
  <c r="H9" i="12"/>
  <c r="O34" i="12"/>
  <c r="G9" i="12"/>
  <c r="X21" i="55"/>
  <c r="G7" i="11"/>
  <c r="D5" i="11"/>
  <c r="D7" i="11" s="1"/>
  <c r="L55" i="11"/>
  <c r="D55" i="11"/>
  <c r="M55" i="11" s="1"/>
  <c r="I62" i="14"/>
  <c r="D24" i="11"/>
  <c r="M24" i="11" s="1"/>
  <c r="C37" i="17"/>
  <c r="G54" i="11"/>
  <c r="G57" i="11" s="1"/>
  <c r="D51" i="14"/>
  <c r="J51" i="14" s="1"/>
  <c r="I32" i="14"/>
  <c r="O23" i="17"/>
  <c r="K28" i="11"/>
  <c r="P21" i="55"/>
  <c r="D22" i="11"/>
  <c r="M22" i="11" s="1"/>
  <c r="O15" i="12"/>
  <c r="K54" i="11"/>
  <c r="K57" i="11" s="1"/>
  <c r="G21" i="55"/>
  <c r="D34" i="14"/>
  <c r="J34" i="14" s="1"/>
  <c r="U21" i="55"/>
  <c r="D30" i="14"/>
  <c r="J30" i="14" s="1"/>
  <c r="H39" i="17"/>
  <c r="I39" i="14"/>
  <c r="L26" i="11"/>
  <c r="L21" i="11"/>
  <c r="I28" i="11"/>
  <c r="C9" i="17"/>
  <c r="O8" i="17"/>
  <c r="O9" i="17" s="1"/>
  <c r="L56" i="11"/>
  <c r="D56" i="11"/>
  <c r="M56" i="11" s="1"/>
  <c r="I47" i="14"/>
  <c r="O19" i="12"/>
  <c r="D26" i="14"/>
  <c r="J26" i="14" s="1"/>
  <c r="I32" i="17"/>
  <c r="D12" i="11"/>
  <c r="M12" i="11" s="1"/>
  <c r="C21" i="12"/>
  <c r="O14" i="12"/>
  <c r="M9" i="18"/>
  <c r="N9" i="18"/>
  <c r="I10" i="14"/>
  <c r="J32" i="17"/>
  <c r="I28" i="12"/>
  <c r="O26" i="12"/>
  <c r="K9" i="17"/>
  <c r="V21" i="55"/>
  <c r="I21" i="12"/>
  <c r="O36" i="12"/>
  <c r="I9" i="17"/>
  <c r="D27" i="14"/>
  <c r="J27" i="14" s="1"/>
  <c r="E28" i="17"/>
  <c r="F21" i="17"/>
  <c r="E37" i="12"/>
  <c r="F37" i="12"/>
  <c r="G21" i="12"/>
  <c r="H13" i="14"/>
  <c r="D48" i="14"/>
  <c r="J48" i="14" s="1"/>
  <c r="J39" i="11"/>
  <c r="J28" i="17"/>
  <c r="D37" i="11"/>
  <c r="M37" i="11" s="1"/>
  <c r="L9" i="11"/>
  <c r="D9" i="14"/>
  <c r="J9" i="14" s="1"/>
  <c r="I7" i="11"/>
  <c r="L7" i="11"/>
  <c r="M21" i="55"/>
  <c r="L37" i="11"/>
  <c r="S21" i="55"/>
  <c r="D62" i="14"/>
  <c r="J62" i="14" s="1"/>
  <c r="C32" i="12"/>
  <c r="J15" i="18"/>
  <c r="J17" i="18" s="1"/>
  <c r="J9" i="12"/>
  <c r="I21" i="14"/>
  <c r="N28" i="12"/>
  <c r="G32" i="17"/>
  <c r="F21" i="12"/>
  <c r="G33" i="11"/>
  <c r="D29" i="11"/>
  <c r="AA21" i="55"/>
  <c r="D40" i="14"/>
  <c r="J40" i="14" s="1"/>
  <c r="E28" i="12"/>
  <c r="O22" i="12"/>
  <c r="I28" i="17"/>
  <c r="O30" i="17"/>
  <c r="I29" i="14"/>
  <c r="O20" i="12"/>
  <c r="D37" i="17"/>
  <c r="I23" i="14"/>
  <c r="L52" i="11"/>
  <c r="I54" i="11"/>
  <c r="D52" i="11"/>
  <c r="I64" i="14"/>
  <c r="E21" i="12"/>
  <c r="W21" i="55"/>
  <c r="L53" i="11"/>
  <c r="D53" i="11"/>
  <c r="M53" i="11" s="1"/>
  <c r="C39" i="12"/>
  <c r="O38" i="12"/>
  <c r="O39" i="12" s="1"/>
  <c r="K39" i="17"/>
  <c r="C21" i="55"/>
  <c r="I44" i="14"/>
  <c r="N39" i="12"/>
  <c r="L22" i="11"/>
  <c r="K32" i="12"/>
  <c r="I9" i="12"/>
  <c r="D30" i="11"/>
  <c r="M30" i="11" s="1"/>
  <c r="R21" i="55"/>
  <c r="D61" i="14"/>
  <c r="F65" i="14"/>
  <c r="D11" i="14"/>
  <c r="J11" i="14" s="1"/>
  <c r="G21" i="17"/>
  <c r="D28" i="12"/>
  <c r="J33" i="11"/>
  <c r="I22" i="14"/>
  <c r="L18" i="11"/>
  <c r="O17" i="12"/>
  <c r="J37" i="17"/>
  <c r="D21" i="12"/>
  <c r="D18" i="11"/>
  <c r="M18" i="11" s="1"/>
  <c r="D31" i="11"/>
  <c r="M31" i="11" s="1"/>
  <c r="I36" i="14"/>
  <c r="D24" i="14"/>
  <c r="J24" i="14" s="1"/>
  <c r="D14" i="11"/>
  <c r="M14" i="11" s="1"/>
  <c r="K39" i="12"/>
  <c r="K32" i="17"/>
  <c r="F9" i="17"/>
  <c r="N32" i="17"/>
  <c r="L10" i="11"/>
  <c r="D38" i="14"/>
  <c r="J38" i="14" s="1"/>
  <c r="K37" i="17"/>
  <c r="L15" i="11"/>
  <c r="G37" i="17"/>
  <c r="I26" i="14"/>
  <c r="D39" i="14"/>
  <c r="J39" i="14" s="1"/>
  <c r="I51" i="14"/>
  <c r="K20" i="11"/>
  <c r="K21" i="55"/>
  <c r="D15" i="11"/>
  <c r="M15" i="11" s="1"/>
  <c r="K42" i="11"/>
  <c r="G9" i="17"/>
  <c r="J39" i="17"/>
  <c r="F32" i="12"/>
  <c r="D23" i="11"/>
  <c r="M23" i="11" s="1"/>
  <c r="O29" i="17"/>
  <c r="C32" i="17"/>
  <c r="G32" i="12"/>
  <c r="D25" i="11"/>
  <c r="M25" i="11" s="1"/>
  <c r="O16" i="17"/>
  <c r="H39" i="12"/>
  <c r="E21" i="55"/>
  <c r="J37" i="12"/>
  <c r="F17" i="14"/>
  <c r="D15" i="14"/>
  <c r="D17" i="14" s="1"/>
  <c r="D31" i="14"/>
  <c r="J31" i="14" s="1"/>
  <c r="L11" i="11"/>
  <c r="J21" i="12"/>
  <c r="I21" i="55"/>
  <c r="F39" i="17"/>
  <c r="D21" i="55"/>
  <c r="G20" i="11"/>
  <c r="D8" i="11"/>
  <c r="J20" i="11"/>
  <c r="D43" i="14"/>
  <c r="J43" i="14" s="1"/>
  <c r="D22" i="14"/>
  <c r="J22" i="14" s="1"/>
  <c r="J21" i="17"/>
  <c r="I34" i="14"/>
  <c r="D13" i="11"/>
  <c r="M13" i="11" s="1"/>
  <c r="I59" i="14" l="1"/>
  <c r="J21" i="14"/>
  <c r="D59" i="14"/>
  <c r="J59" i="14" s="1"/>
  <c r="O38" i="17"/>
  <c r="O39" i="17" s="1"/>
  <c r="K49" i="11"/>
  <c r="H43" i="12"/>
  <c r="N43" i="12"/>
  <c r="M37" i="12"/>
  <c r="C43" i="12"/>
  <c r="O32" i="17"/>
  <c r="F43" i="12"/>
  <c r="E43" i="12"/>
  <c r="O32" i="12"/>
  <c r="J43" i="12"/>
  <c r="K43" i="12"/>
  <c r="D43" i="12"/>
  <c r="G43" i="12"/>
  <c r="I43" i="12"/>
  <c r="G49" i="11"/>
  <c r="J49" i="11"/>
  <c r="F19" i="14"/>
  <c r="F67" i="14" s="1"/>
  <c r="I49" i="11"/>
  <c r="M28" i="17"/>
  <c r="D54" i="11"/>
  <c r="D57" i="11" s="1"/>
  <c r="M52" i="11"/>
  <c r="M5" i="11"/>
  <c r="M7" i="11"/>
  <c r="D33" i="11"/>
  <c r="M33" i="11" s="1"/>
  <c r="K43" i="17"/>
  <c r="O37" i="17"/>
  <c r="I13" i="14"/>
  <c r="I19" i="14" s="1"/>
  <c r="N15" i="18"/>
  <c r="I17" i="18"/>
  <c r="N17" i="18" s="1"/>
  <c r="I65" i="14"/>
  <c r="D13" i="14"/>
  <c r="D19" i="14" s="1"/>
  <c r="I43" i="17"/>
  <c r="J15" i="14"/>
  <c r="M29" i="11"/>
  <c r="J17" i="14"/>
  <c r="G19" i="14"/>
  <c r="M21" i="17"/>
  <c r="L33" i="11"/>
  <c r="N43" i="17"/>
  <c r="H19" i="14"/>
  <c r="H67" i="14" s="1"/>
  <c r="J43" i="17"/>
  <c r="L54" i="11"/>
  <c r="L57" i="11" s="1"/>
  <c r="I57" i="11"/>
  <c r="M28" i="12"/>
  <c r="M37" i="17"/>
  <c r="O22" i="17"/>
  <c r="O28" i="17" s="1"/>
  <c r="M32" i="17"/>
  <c r="H43" i="17"/>
  <c r="M15" i="18"/>
  <c r="M17" i="18" s="1"/>
  <c r="F43" i="17"/>
  <c r="O21" i="17"/>
  <c r="D39" i="11"/>
  <c r="M39" i="11" s="1"/>
  <c r="M34" i="11"/>
  <c r="M40" i="11"/>
  <c r="D43" i="17"/>
  <c r="E43" i="17"/>
  <c r="O8" i="12"/>
  <c r="O9" i="12" s="1"/>
  <c r="M8" i="11"/>
  <c r="D20" i="11"/>
  <c r="M20" i="11" s="1"/>
  <c r="O28" i="12"/>
  <c r="J61" i="14"/>
  <c r="D65" i="14"/>
  <c r="L28" i="11"/>
  <c r="M32" i="12"/>
  <c r="L39" i="11"/>
  <c r="C43" i="17"/>
  <c r="L20" i="11"/>
  <c r="D28" i="11"/>
  <c r="M28" i="11" s="1"/>
  <c r="AD21" i="55"/>
  <c r="M21" i="12"/>
  <c r="O10" i="12"/>
  <c r="O21" i="12" s="1"/>
  <c r="O33" i="12"/>
  <c r="O37" i="12" s="1"/>
  <c r="G43" i="17"/>
  <c r="M42" i="11"/>
  <c r="O43" i="12" l="1"/>
  <c r="M43" i="12"/>
  <c r="L49" i="11"/>
  <c r="M54" i="11"/>
  <c r="D49" i="11"/>
  <c r="M49" i="11" s="1"/>
  <c r="O43" i="17"/>
  <c r="M43" i="17"/>
  <c r="M57" i="11"/>
  <c r="J13" i="14"/>
  <c r="J19" i="14"/>
  <c r="D67" i="14"/>
  <c r="I67" i="14"/>
  <c r="J65" i="14"/>
  <c r="G67" i="14"/>
  <c r="J67" i="14" l="1"/>
</calcChain>
</file>

<file path=xl/sharedStrings.xml><?xml version="1.0" encoding="utf-8"?>
<sst xmlns="http://schemas.openxmlformats.org/spreadsheetml/2006/main" count="1705" uniqueCount="633">
  <si>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</si>
  <si>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</si>
  <si>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</si>
  <si>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</si>
  <si>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</si>
  <si>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</si>
  <si>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</si>
  <si>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</si>
  <si>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</si>
  <si>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</si>
  <si>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</si>
  <si>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</si>
  <si>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</si>
  <si>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</si>
  <si>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</si>
  <si>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</si>
  <si>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</si>
  <si>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</si>
  <si>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</si>
  <si>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</si>
  <si>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</si>
  <si>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</si>
  <si>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</si>
  <si>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</si>
  <si>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</si>
  <si>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</si>
  <si>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</si>
  <si>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</si>
  <si>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</si>
  <si>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</si>
  <si>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</si>
  <si>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</si>
  <si>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</si>
  <si>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</si>
  <si>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</si>
  <si>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</si>
  <si>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</si>
  <si>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</si>
  <si>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</si>
  <si>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</si>
  <si>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</si>
  <si>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</si>
  <si>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</si>
  <si>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</si>
  <si>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</si>
  <si>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</si>
  <si>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</si>
  <si>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</si>
  <si>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</si>
  <si>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</si>
  <si>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</si>
  <si>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</si>
  <si>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</si>
  <si>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</si>
  <si>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</si>
  <si>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</si>
  <si>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</si>
  <si>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</si>
  <si>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</si>
  <si>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</si>
  <si>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</si>
  <si>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</si>
  <si>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</si>
  <si>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</si>
  <si>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</si>
  <si>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</si>
  <si>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</si>
  <si>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</si>
  <si>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</si>
  <si>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</si>
  <si>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</si>
  <si>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</si>
  <si>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</si>
  <si>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</si>
  <si>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</si>
  <si>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</si>
  <si>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</si>
  <si>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</si>
  <si>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</si>
  <si>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</si>
  <si>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</si>
  <si>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</si>
  <si>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</si>
  <si>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</si>
  <si>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</si>
  <si>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</si>
  <si>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</si>
  <si>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</si>
  <si>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</si>
  <si>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</si>
  <si>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</si>
  <si>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</si>
  <si>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</si>
  <si>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</si>
  <si>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</si>
  <si>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</si>
  <si>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</si>
  <si>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</si>
  <si>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</si>
  <si>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</si>
  <si>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</si>
  <si>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</si>
  <si>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</si>
  <si>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</si>
  <si>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</si>
  <si>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</si>
  <si>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</si>
  <si>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</si>
  <si>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</si>
  <si>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</si>
  <si>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</si>
  <si>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</si>
  <si>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</si>
  <si>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</si>
  <si>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</si>
  <si>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</si>
  <si>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</si>
  <si>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</si>
  <si>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</si>
  <si>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</si>
  <si>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</si>
  <si>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</si>
  <si>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</si>
  <si>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</si>
  <si>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</si>
  <si>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</si>
  <si>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</si>
  <si>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</si>
  <si>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</si>
  <si>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</si>
  <si>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</si>
  <si>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</si>
  <si>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</si>
  <si>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</si>
  <si>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</si>
  <si>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</si>
  <si>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</si>
  <si>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</si>
  <si>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</si>
  <si>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</si>
  <si>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</si>
  <si>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</si>
  <si>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</si>
  <si>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</si>
  <si>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</si>
  <si>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</si>
  <si>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</si>
  <si>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</si>
  <si>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</si>
  <si>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</si>
  <si>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</si>
  <si>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</si>
  <si>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</si>
  <si>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</si>
  <si>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</si>
  <si>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</si>
  <si>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</si>
  <si>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</si>
  <si>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</si>
  <si>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</si>
  <si>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</si>
  <si>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</si>
  <si>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</si>
  <si>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</si>
  <si>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</si>
  <si>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</si>
  <si>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</si>
  <si>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</si>
  <si>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</si>
  <si>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</si>
  <si>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</si>
  <si>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</si>
  <si>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</si>
  <si>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</si>
  <si>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</si>
  <si>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</si>
  <si>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</si>
  <si>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</si>
  <si>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</si>
  <si>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</si>
  <si>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</si>
  <si>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</si>
  <si>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</si>
  <si>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</si>
  <si>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</si>
  <si>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</si>
  <si>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</si>
  <si>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</si>
  <si>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</si>
  <si>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</si>
  <si>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</si>
  <si>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</si>
  <si>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</si>
  <si>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</si>
  <si>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</si>
  <si>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</si>
  <si>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</si>
  <si>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</si>
  <si>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</si>
  <si>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</si>
  <si>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</si>
  <si>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</si>
  <si>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</si>
  <si>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</si>
  <si>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</si>
  <si>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</si>
  <si>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</si>
  <si>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</si>
  <si>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</si>
  <si>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</si>
  <si>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</si>
  <si>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</si>
  <si>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</si>
  <si>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</si>
  <si>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</si>
  <si>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</si>
  <si>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</si>
  <si>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</si>
  <si>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</si>
  <si>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</si>
  <si>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</si>
  <si>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</si>
  <si>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</si>
  <si>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</si>
  <si>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</si>
  <si>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</si>
  <si>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</si>
  <si>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</si>
  <si>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</si>
  <si>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</si>
  <si>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</si>
  <si>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</si>
  <si>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</si>
  <si>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</si>
  <si>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</si>
  <si>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</si>
  <si>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</si>
  <si>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</si>
  <si>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</si>
  <si>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</si>
  <si>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</si>
  <si>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</si>
  <si>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</si>
  <si>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</si>
  <si>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</si>
  <si>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</si>
  <si>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</si>
  <si>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</si>
  <si>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</si>
  <si>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</si>
  <si>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</si>
  <si>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</si>
  <si>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</si>
  <si>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</si>
  <si>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</si>
  <si>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</si>
  <si>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</si>
  <si>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</si>
  <si>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</si>
  <si>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</si>
  <si>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</si>
  <si>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</si>
  <si>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</si>
  <si>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</si>
  <si>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</si>
  <si>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</si>
  <si>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</si>
  <si>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</si>
  <si>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</si>
  <si>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</si>
  <si>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</si>
  <si>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</si>
  <si>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</si>
  <si>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</si>
  <si>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</si>
  <si>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</si>
  <si>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</si>
  <si>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</si>
  <si>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</si>
  <si>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</si>
  <si>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</si>
  <si>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</si>
  <si>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</si>
  <si>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</si>
  <si>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</si>
  <si>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</si>
  <si>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</si>
  <si>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</si>
  <si>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</si>
  <si>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</si>
  <si>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</si>
  <si>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</si>
  <si>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</si>
  <si>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</si>
  <si>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</si>
  <si>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</si>
  <si>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</si>
  <si>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</si>
  <si>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</si>
  <si>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</si>
  <si>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</si>
  <si>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</si>
  <si>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</si>
  <si>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</si>
  <si>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</si>
  <si>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</si>
  <si>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</si>
  <si>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</si>
  <si>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</si>
  <si>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</si>
  <si>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</si>
  <si>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</si>
  <si>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</si>
  <si>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</si>
  <si>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</si>
  <si>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</si>
  <si>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</si>
  <si>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</si>
  <si>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</si>
  <si>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</si>
  <si>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</si>
  <si>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</si>
  <si>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</si>
  <si>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</si>
  <si>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</si>
  <si>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</si>
  <si>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</si>
  <si>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</si>
  <si>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</si>
  <si>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</si>
  <si>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</si>
  <si>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</si>
  <si>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</si>
  <si>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</si>
  <si>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</si>
  <si>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</si>
  <si>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</si>
  <si>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</si>
  <si>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</si>
  <si>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</si>
  <si>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</si>
  <si>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</si>
  <si>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</si>
  <si>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</si>
  <si>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</si>
  <si>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</si>
  <si>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</si>
  <si>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</si>
  <si>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</si>
  <si>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</si>
  <si>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</si>
  <si>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</si>
  <si>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</si>
  <si>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</si>
  <si>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</si>
  <si>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</si>
  <si>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</si>
  <si>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</si>
  <si>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</si>
  <si>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</si>
  <si>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</si>
  <si>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</si>
  <si>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</si>
  <si>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</si>
  <si>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</si>
  <si>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</si>
  <si>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</si>
  <si>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</si>
  <si>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</si>
  <si>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</si>
  <si>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</si>
  <si>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</si>
  <si>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</si>
  <si>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</si>
  <si>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</si>
  <si>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</si>
  <si>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</si>
  <si>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</si>
  <si>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</si>
  <si>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</si>
  <si>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</si>
  <si>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</si>
  <si>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</si>
  <si>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</si>
  <si>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</si>
  <si>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</si>
  <si>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</si>
  <si>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</si>
  <si>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</si>
  <si>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</si>
  <si>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</si>
  <si>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</si>
  <si>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</si>
  <si>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</si>
  <si>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B,G</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</si>
  <si>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</si>
  <si>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</si>
  <si>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</si>
  <si>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</si>
  <si>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</si>
  <si>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</si>
  <si>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</si>
  <si>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</si>
  <si>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</si>
  <si>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</si>
  <si>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</si>
  <si>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</si>
  <si>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</si>
  <si>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</si>
  <si>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</si>
  <si>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</si>
  <si>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</si>
  <si>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</si>
  <si>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</si>
  <si>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</si>
  <si>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</si>
  <si>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</si>
  <si>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</si>
  <si>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</si>
  <si>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</si>
  <si>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</si>
  <si>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</si>
  <si>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</si>
  <si>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</si>
  <si>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</si>
  <si>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</si>
  <si>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</si>
  <si>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</si>
  <si>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</si>
  <si>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</si>
  <si>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</si>
  <si>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</si>
  <si>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</si>
  <si>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</si>
  <si>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</si>
  <si>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</si>
  <si>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</si>
  <si>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</si>
  <si>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</si>
  <si>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</si>
  <si>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</si>
  <si>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</si>
  <si>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</si>
  <si>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</si>
  <si>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</si>
  <si>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</si>
  <si>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</si>
  <si>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</si>
  <si>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</si>
  <si>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</si>
  <si>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</si>
  <si>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</si>
  <si>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</si>
  <si>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</si>
  <si>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</si>
  <si>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</si>
  <si>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</si>
  <si>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</si>
  <si>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</si>
  <si>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</si>
  <si>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</si>
  <si>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</si>
  <si>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</si>
  <si>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</si>
  <si>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</si>
  <si>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</si>
  <si>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</si>
  <si>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</si>
  <si>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</si>
  <si>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</si>
  <si>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</si>
  <si>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</si>
  <si>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</si>
  <si>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</si>
  <si>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</si>
  <si>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</si>
  <si>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</si>
  <si>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</si>
  <si>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</si>
  <si>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</si>
  <si>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</si>
  <si>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</si>
  <si>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</si>
  <si>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</si>
  <si>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</si>
  <si>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</si>
  <si>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</si>
  <si>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</si>
  <si>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</si>
  <si>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</si>
  <si>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</si>
  <si>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</si>
  <si>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</si>
  <si>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</si>
  <si>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</si>
  <si>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</si>
  <si>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</si>
  <si>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</si>
  <si>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</si>
  <si>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</si>
  <si>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</si>
  <si>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</si>
  <si>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</si>
  <si>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</si>
  <si>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</si>
  <si>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</si>
  <si>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</si>
  <si>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</si>
  <si>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</si>
  <si>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June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</si>
  <si>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</si>
  <si>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</si>
  <si>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</si>
  <si>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</si>
  <si>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</si>
  <si>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</si>
  <si>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</si>
  <si>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</si>
  <si>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</si>
  <si>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</si>
  <si>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</si>
  <si>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</si>
  <si>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</si>
  <si>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</si>
  <si>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</si>
  <si>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</si>
  <si>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</si>
  <si>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</si>
  <si>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</si>
  <si>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</si>
  <si>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</si>
  <si>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</si>
  <si>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</si>
  <si>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</si>
  <si>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</si>
  <si>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</si>
  <si>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</si>
  <si>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</si>
  <si>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</si>
  <si>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</si>
  <si>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B,C,D,I,J,K</t>
  </si>
  <si>
    <t>B,C</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</si>
  <si>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</si>
  <si>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</si>
  <si>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</si>
  <si>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</si>
  <si>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</si>
  <si>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</si>
  <si>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B,C,D,V</t>
  </si>
  <si>
    <t>P,V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</si>
  <si>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</si>
  <si>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</si>
  <si>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</si>
  <si>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</si>
  <si>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</si>
  <si>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</si>
  <si>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</si>
  <si>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</si>
  <si>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</si>
  <si>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</si>
  <si>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</si>
  <si>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</si>
  <si>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</si>
  <si>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</si>
  <si>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</si>
  <si>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</si>
  <si>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</si>
  <si>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</si>
  <si>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FY 20212</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</si>
  <si>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</si>
  <si>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</si>
  <si>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</si>
  <si>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</si>
  <si>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</si>
  <si>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</si>
  <si>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</si>
  <si>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C,D</t>
  </si>
  <si>
    <t>C,G</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</si>
  <si>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</si>
  <si>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</si>
  <si>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</si>
  <si>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</si>
  <si>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1,B,C,D,I,J,P,V,X</t>
  </si>
  <si>
    <t>1,B,C,D,H,I,V</t>
  </si>
  <si>
    <t>1,B,E</t>
  </si>
  <si>
    <t>1,D,H</t>
  </si>
  <si>
    <t>1,B,D</t>
  </si>
  <si>
    <t>1,B,C,D</t>
  </si>
  <si>
    <t>1,B,C,E</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</si>
  <si>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</si>
  <si>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</si>
  <si>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</si>
  <si>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</si>
  <si>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</si>
  <si>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</si>
  <si>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</si>
  <si>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</si>
  <si>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</si>
  <si>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</si>
  <si>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B,C,D</t>
  </si>
  <si>
    <t>FY 2022 Projected **</t>
  </si>
  <si>
    <t>B,C,D,I</t>
  </si>
  <si>
    <t>A,B,C,I,V</t>
  </si>
  <si>
    <t>CBC Transition Strategy Transfer (Fiscal Size-Up)</t>
  </si>
  <si>
    <t>Data Through December 31, 2021</t>
  </si>
  <si>
    <t>as of 12/31/21</t>
  </si>
  <si>
    <t>Data Through December 2021</t>
  </si>
  <si>
    <t>The data contained in each report is through December 31, 2021</t>
  </si>
  <si>
    <t>FY 2021 Monthly Financial Report:  Select Performance Measures</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</si>
  <si>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</si>
  <si>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</si>
  <si>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</si>
  <si>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</si>
  <si>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</si>
  <si>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</si>
  <si>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</si>
  <si>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</si>
  <si>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</si>
  <si>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</si>
  <si>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</si>
  <si>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</si>
  <si>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</si>
  <si>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</si>
  <si>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</si>
  <si>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</si>
  <si>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</si>
  <si>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NOTE:  DFPS MRS provides actuals and DFPS Forecasting provides projections.</t>
  </si>
  <si>
    <t>YTD Expense as of 12/31/2021</t>
  </si>
  <si>
    <t>Actual Expenditures through December 2021, Projections after December 2021</t>
  </si>
  <si>
    <t>FTE Paid # After December 2021 based on Budgeted FTE CAP</t>
  </si>
  <si>
    <t>A; 1</t>
  </si>
  <si>
    <t>Target FY 2022 SB 1</t>
  </si>
  <si>
    <t>Variance (SB 1 vs. Projected)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</si>
</sst>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0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s>
  <borders count="91">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thin">
        <color indexed="64"/>
      </left>
      <right style="thin">
        <color auto="1"/>
      </right>
      <top style="medium">
        <color indexed="64"/>
      </top>
      <bottom style="thin">
        <color auto="1"/>
      </bottom>
      <diagonal/>
    </border>
    <border>
      <left style="medium">
        <color indexed="64"/>
      </left>
      <right/>
      <top style="thin">
        <color indexed="64"/>
      </top>
      <bottom style="thin">
        <color indexed="64"/>
      </bottom>
      <diagonal/>
    </border>
  </borders>
  <cellStyleXfs count="51130">
    <xf numFmtId="0" fontId="0" fillId="0" borderId="0"/>
    <xf numFmtId="43" fontId="110" fillId="0" borderId="0" applyFont="0" applyFill="0" applyBorder="0" applyAlignment="0" applyProtection="0"/>
    <xf numFmtId="44" fontId="110" fillId="0" borderId="0" applyFont="0" applyFill="0" applyBorder="0" applyAlignment="0" applyProtection="0"/>
    <xf numFmtId="0" fontId="114" fillId="0" borderId="0"/>
    <xf numFmtId="0" fontId="115" fillId="0" borderId="0" applyNumberFormat="0" applyFont="0" applyFill="0" applyBorder="0" applyAlignment="0" applyProtection="0">
      <alignment horizontal="left"/>
    </xf>
    <xf numFmtId="15" fontId="115" fillId="0" borderId="0" applyFont="0" applyFill="0" applyBorder="0" applyAlignment="0" applyProtection="0"/>
    <xf numFmtId="4" fontId="115" fillId="0" borderId="0" applyFont="0" applyFill="0" applyBorder="0" applyAlignment="0" applyProtection="0"/>
    <xf numFmtId="0" fontId="116" fillId="0" borderId="1">
      <alignment horizontal="center"/>
    </xf>
    <xf numFmtId="3" fontId="115" fillId="0" borderId="0" applyFont="0" applyFill="0" applyBorder="0" applyAlignment="0" applyProtection="0"/>
    <xf numFmtId="0" fontId="115" fillId="2" borderId="0" applyNumberFormat="0" applyFont="0" applyBorder="0" applyAlignment="0" applyProtection="0"/>
    <xf numFmtId="0" fontId="118" fillId="0" borderId="0"/>
    <xf numFmtId="0" fontId="118" fillId="0" borderId="0"/>
    <xf numFmtId="0" fontId="110" fillId="0" borderId="0"/>
    <xf numFmtId="43" fontId="119" fillId="0" borderId="0" applyFont="0" applyFill="0" applyBorder="0" applyAlignment="0" applyProtection="0"/>
    <xf numFmtId="44" fontId="119" fillId="0" borderId="0" applyFont="0" applyFill="0" applyBorder="0" applyAlignment="0" applyProtection="0"/>
    <xf numFmtId="0" fontId="109" fillId="0" borderId="0"/>
    <xf numFmtId="43" fontId="110" fillId="0" borderId="0" applyFont="0" applyFill="0" applyBorder="0" applyAlignment="0" applyProtection="0"/>
    <xf numFmtId="0" fontId="110" fillId="0" borderId="0"/>
    <xf numFmtId="43" fontId="110" fillId="0" borderId="0" applyFont="0" applyFill="0" applyBorder="0" applyAlignment="0" applyProtection="0"/>
    <xf numFmtId="43" fontId="12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168" fontId="118" fillId="0" borderId="0" applyFont="0" applyFill="0" applyBorder="0" applyAlignment="0" applyProtection="0"/>
    <xf numFmtId="0" fontId="121" fillId="0" borderId="0" applyNumberFormat="0" applyFill="0" applyBorder="0" applyAlignment="0" applyProtection="0"/>
    <xf numFmtId="0" fontId="109" fillId="0" borderId="0"/>
    <xf numFmtId="0" fontId="109" fillId="0" borderId="0"/>
    <xf numFmtId="0" fontId="109" fillId="0" borderId="0"/>
    <xf numFmtId="0" fontId="109" fillId="0" borderId="0"/>
    <xf numFmtId="0" fontId="109" fillId="0" borderId="0"/>
    <xf numFmtId="0" fontId="120" fillId="0" borderId="0"/>
    <xf numFmtId="0" fontId="109" fillId="0" borderId="0"/>
    <xf numFmtId="0" fontId="109" fillId="0" borderId="0"/>
    <xf numFmtId="0" fontId="109" fillId="0" borderId="0"/>
    <xf numFmtId="0" fontId="109" fillId="0" borderId="0"/>
    <xf numFmtId="0" fontId="120" fillId="0" borderId="0"/>
    <xf numFmtId="0" fontId="109" fillId="0" borderId="0"/>
    <xf numFmtId="0" fontId="109" fillId="0" borderId="0"/>
    <xf numFmtId="0" fontId="110" fillId="0" borderId="0"/>
    <xf numFmtId="9" fontId="110" fillId="0" borderId="0" applyFont="0" applyFill="0" applyBorder="0" applyAlignment="0" applyProtection="0"/>
    <xf numFmtId="0" fontId="109" fillId="0" borderId="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6"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7"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8"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0"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1"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3"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14"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9"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2"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3" fillId="15"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6"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3"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4"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19"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1"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22"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7"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18"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4" fillId="23"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5" fillId="7" borderId="0" applyNumberFormat="0" applyBorder="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6" fillId="24" borderId="14"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0" fontId="127" fillId="25" borderId="15" applyNumberFormat="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2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09"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43" fontId="110" fillId="0" borderId="0" applyFon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29" fillId="8" borderId="0" applyNumberFormat="0" applyBorder="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0" fillId="0" borderId="16"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1" fillId="0" borderId="17"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18" applyNumberFormat="0" applyFill="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3"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21" fillId="0" borderId="0" applyNumberFormat="0" applyFill="0" applyBorder="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35" fillId="11" borderId="14" applyNumberFormat="0" applyAlignment="0" applyProtection="0"/>
    <xf numFmtId="0" fontId="111" fillId="3" borderId="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6" fillId="0" borderId="19" applyNumberFormat="0" applyFill="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37" fillId="26" borderId="0" applyNumberFormat="0" applyBorder="0" applyAlignment="0" applyProtection="0"/>
    <xf numFmtId="0" fontId="110"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10"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10"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19" fillId="0" borderId="0"/>
    <xf numFmtId="0" fontId="110" fillId="0" borderId="0"/>
    <xf numFmtId="0" fontId="138" fillId="0" borderId="0"/>
    <xf numFmtId="0" fontId="110"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09" fillId="0" borderId="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22" fillId="27" borderId="20" applyNumberFormat="0" applyFon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0" fontId="139" fillId="24" borderId="21" applyNumberFormat="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09" fillId="0" borderId="0" applyFont="0" applyFill="0" applyBorder="0" applyAlignment="0" applyProtection="0"/>
    <xf numFmtId="9" fontId="110" fillId="0" borderId="0" applyFont="0" applyFill="0" applyBorder="0" applyAlignment="0" applyProtection="0"/>
    <xf numFmtId="9" fontId="110" fillId="0" borderId="0" applyFont="0" applyFill="0" applyBorder="0" applyAlignment="0" applyProtection="0"/>
    <xf numFmtId="0" fontId="115" fillId="0" borderId="0" applyNumberFormat="0" applyFont="0" applyFill="0" applyBorder="0" applyAlignment="0" applyProtection="0">
      <alignment horizontal="left"/>
    </xf>
    <xf numFmtId="0" fontId="115" fillId="0" borderId="0" applyNumberFormat="0" applyFont="0" applyFill="0" applyBorder="0" applyAlignment="0" applyProtection="0">
      <alignment horizontal="left"/>
    </xf>
    <xf numFmtId="15" fontId="115" fillId="0" borderId="0" applyFont="0" applyFill="0" applyBorder="0" applyAlignment="0" applyProtection="0"/>
    <xf numFmtId="15"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0" fontId="116" fillId="0" borderId="1">
      <alignment horizontal="center"/>
    </xf>
    <xf numFmtId="0" fontId="116" fillId="0" borderId="1">
      <alignment horizontal="center"/>
    </xf>
    <xf numFmtId="3" fontId="115" fillId="0" borderId="0" applyFont="0" applyFill="0" applyBorder="0" applyAlignment="0" applyProtection="0"/>
    <xf numFmtId="3" fontId="115" fillId="0" borderId="0" applyFont="0" applyFill="0" applyBorder="0" applyAlignment="0" applyProtection="0"/>
    <xf numFmtId="0" fontId="115" fillId="2" borderId="0" applyNumberFormat="0" applyFont="0" applyBorder="0" applyAlignment="0" applyProtection="0"/>
    <xf numFmtId="0" fontId="115" fillId="2" borderId="0" applyNumberFormat="0" applyFont="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1" fillId="0" borderId="2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21" fillId="0" borderId="0" applyNumberFormat="0" applyFill="0" applyBorder="0" applyAlignment="0" applyProtection="0"/>
    <xf numFmtId="0" fontId="108" fillId="0" borderId="0"/>
    <xf numFmtId="44" fontId="110" fillId="0" borderId="0" applyFont="0" applyFill="0" applyBorder="0" applyAlignment="0" applyProtection="0"/>
    <xf numFmtId="9" fontId="108" fillId="0" borderId="0" applyFont="0" applyFill="0" applyBorder="0" applyAlignment="0" applyProtection="0"/>
    <xf numFmtId="0" fontId="110" fillId="0" borderId="0"/>
    <xf numFmtId="0" fontId="108" fillId="0" borderId="0"/>
    <xf numFmtId="0" fontId="107" fillId="0" borderId="0"/>
    <xf numFmtId="0" fontId="106" fillId="0" borderId="0"/>
    <xf numFmtId="0" fontId="143" fillId="0" borderId="0"/>
    <xf numFmtId="0" fontId="105" fillId="0" borderId="0"/>
    <xf numFmtId="9" fontId="105" fillId="0" borderId="0" applyFont="0" applyFill="0" applyBorder="0" applyAlignment="0" applyProtection="0"/>
    <xf numFmtId="0" fontId="105" fillId="0" borderId="0"/>
    <xf numFmtId="0" fontId="104" fillId="0" borderId="0"/>
    <xf numFmtId="9" fontId="104" fillId="0" borderId="0" applyFont="0" applyFill="0" applyBorder="0" applyAlignment="0" applyProtection="0"/>
    <xf numFmtId="0" fontId="104" fillId="0" borderId="0"/>
    <xf numFmtId="0" fontId="103" fillId="0" borderId="0"/>
    <xf numFmtId="9" fontId="103" fillId="0" borderId="0" applyFont="0" applyFill="0" applyBorder="0" applyAlignment="0" applyProtection="0"/>
    <xf numFmtId="0" fontId="103" fillId="0" borderId="0"/>
    <xf numFmtId="0" fontId="102" fillId="0" borderId="0"/>
    <xf numFmtId="9" fontId="102" fillId="0" borderId="0" applyFont="0" applyFill="0" applyBorder="0" applyAlignment="0" applyProtection="0"/>
    <xf numFmtId="0" fontId="102" fillId="0" borderId="0"/>
    <xf numFmtId="0" fontId="101" fillId="0" borderId="0"/>
    <xf numFmtId="9" fontId="101" fillId="0" borderId="0" applyFont="0" applyFill="0" applyBorder="0" applyAlignment="0" applyProtection="0"/>
    <xf numFmtId="0" fontId="101"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0" fontId="100" fillId="0" borderId="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9" fontId="100" fillId="0" borderId="0" applyFont="0" applyFill="0" applyBorder="0" applyAlignment="0" applyProtection="0"/>
    <xf numFmtId="0" fontId="100" fillId="0" borderId="0"/>
    <xf numFmtId="9" fontId="100" fillId="0" borderId="0" applyFont="0" applyFill="0" applyBorder="0" applyAlignment="0" applyProtection="0"/>
    <xf numFmtId="0" fontId="100" fillId="0" borderId="0"/>
    <xf numFmtId="0" fontId="100" fillId="0" borderId="0"/>
    <xf numFmtId="0" fontId="100" fillId="0" borderId="0"/>
    <xf numFmtId="0" fontId="119"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00" fillId="0" borderId="0"/>
    <xf numFmtId="9" fontId="100" fillId="0" borderId="0" applyFont="0" applyFill="0" applyBorder="0" applyAlignment="0" applyProtection="0"/>
    <xf numFmtId="0" fontId="100" fillId="0" borderId="0"/>
    <xf numFmtId="0" fontId="144" fillId="0" borderId="0"/>
    <xf numFmtId="0" fontId="145" fillId="0" borderId="0"/>
    <xf numFmtId="0" fontId="99" fillId="0" borderId="0"/>
    <xf numFmtId="9" fontId="99"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9" fontId="98"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43" fontId="119" fillId="0" borderId="0" applyFont="0" applyFill="0" applyBorder="0" applyAlignment="0" applyProtection="0"/>
    <xf numFmtId="44" fontId="119" fillId="0" borderId="0" applyFont="0" applyFill="0" applyBorder="0" applyAlignment="0" applyProtection="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120" fillId="0" borderId="0"/>
    <xf numFmtId="0" fontId="97" fillId="0" borderId="0"/>
    <xf numFmtId="0" fontId="97" fillId="0" borderId="0"/>
    <xf numFmtId="0" fontId="97" fillId="0" borderId="0"/>
    <xf numFmtId="0" fontId="97" fillId="0" borderId="0"/>
    <xf numFmtId="0" fontId="120" fillId="0" borderId="0"/>
    <xf numFmtId="0" fontId="97" fillId="0" borderId="0"/>
    <xf numFmtId="0" fontId="97" fillId="0" borderId="0"/>
    <xf numFmtId="0" fontId="110" fillId="0" borderId="0"/>
    <xf numFmtId="9" fontId="110" fillId="0" borderId="0" applyFont="0" applyFill="0" applyBorder="0" applyAlignment="0" applyProtection="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138" fillId="0" borderId="0"/>
    <xf numFmtId="0" fontId="110"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110" fillId="0" borderId="0" applyFont="0" applyFill="0" applyBorder="0" applyAlignment="0" applyProtection="0"/>
    <xf numFmtId="0" fontId="97" fillId="0" borderId="0"/>
    <xf numFmtId="9" fontId="97" fillId="0" borderId="0" applyFont="0" applyFill="0" applyBorder="0" applyAlignment="0" applyProtection="0"/>
    <xf numFmtId="0" fontId="97" fillId="0" borderId="0"/>
    <xf numFmtId="0" fontId="97" fillId="0" borderId="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43" fontId="97" fillId="0" borderId="0" applyFont="0" applyFill="0" applyBorder="0" applyAlignment="0" applyProtection="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9" fontId="97" fillId="0" borderId="0" applyFont="0" applyFill="0" applyBorder="0" applyAlignment="0" applyProtection="0"/>
    <xf numFmtId="0" fontId="97" fillId="0" borderId="0"/>
    <xf numFmtId="9" fontId="97" fillId="0" borderId="0" applyFont="0" applyFill="0" applyBorder="0" applyAlignment="0" applyProtection="0"/>
    <xf numFmtId="0" fontId="97" fillId="0" borderId="0"/>
    <xf numFmtId="0" fontId="97" fillId="0" borderId="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97" fillId="0" borderId="0"/>
    <xf numFmtId="9" fontId="97" fillId="0" borderId="0" applyFont="0" applyFill="0" applyBorder="0" applyAlignment="0" applyProtection="0"/>
    <xf numFmtId="0" fontId="97" fillId="0" borderId="0"/>
    <xf numFmtId="0" fontId="119" fillId="0" borderId="0"/>
    <xf numFmtId="0" fontId="119" fillId="0" borderId="0"/>
    <xf numFmtId="0" fontId="97" fillId="0" borderId="0"/>
    <xf numFmtId="0" fontId="96" fillId="0" borderId="0"/>
    <xf numFmtId="9" fontId="96" fillId="0" borderId="0" applyFont="0" applyFill="0" applyBorder="0" applyAlignment="0" applyProtection="0"/>
    <xf numFmtId="0" fontId="96" fillId="0" borderId="0"/>
    <xf numFmtId="43" fontId="96"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0" fontId="96"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0" fontId="96" fillId="0" borderId="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0" fontId="96" fillId="0" borderId="0"/>
    <xf numFmtId="9" fontId="96" fillId="0" borderId="0" applyFont="0" applyFill="0" applyBorder="0" applyAlignment="0" applyProtection="0"/>
    <xf numFmtId="0" fontId="96" fillId="0" borderId="0"/>
    <xf numFmtId="0" fontId="96" fillId="0" borderId="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9" fontId="96" fillId="0" borderId="0" applyFont="0" applyFill="0" applyBorder="0" applyAlignment="0" applyProtection="0"/>
    <xf numFmtId="0" fontId="96" fillId="0" borderId="0"/>
    <xf numFmtId="0" fontId="96" fillId="0" borderId="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43" fontId="95" fillId="0" borderId="0" applyFont="0" applyFill="0" applyBorder="0" applyAlignment="0" applyProtection="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119" fillId="0" borderId="0" applyFont="0" applyFill="0" applyBorder="0" applyAlignment="0" applyProtection="0"/>
    <xf numFmtId="43" fontId="110" fillId="0" borderId="0" applyFont="0" applyFill="0" applyBorder="0" applyAlignment="0" applyProtection="0"/>
    <xf numFmtId="0" fontId="95" fillId="0" borderId="0"/>
    <xf numFmtId="0" fontId="94" fillId="0" borderId="0"/>
    <xf numFmtId="43" fontId="119" fillId="0" borderId="0" applyFont="0" applyFill="0" applyBorder="0" applyAlignment="0" applyProtection="0"/>
    <xf numFmtId="0" fontId="93" fillId="0" borderId="0"/>
    <xf numFmtId="0" fontId="110" fillId="0" borderId="0"/>
    <xf numFmtId="0" fontId="92" fillId="0" borderId="0"/>
    <xf numFmtId="0" fontId="177" fillId="0" borderId="0"/>
    <xf numFmtId="9" fontId="177"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9" fontId="90" fillId="0" borderId="0" applyFont="0" applyFill="0" applyBorder="0" applyAlignment="0" applyProtection="0"/>
    <xf numFmtId="0" fontId="89" fillId="0" borderId="0"/>
    <xf numFmtId="43" fontId="89" fillId="0" borderId="0" applyFont="0" applyFill="0" applyBorder="0" applyAlignment="0" applyProtection="0"/>
    <xf numFmtId="0" fontId="178"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183" fillId="0" borderId="0"/>
    <xf numFmtId="0" fontId="72" fillId="0" borderId="0"/>
    <xf numFmtId="43" fontId="73"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6"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184" fillId="0" borderId="0"/>
    <xf numFmtId="0" fontId="61" fillId="0" borderId="0"/>
    <xf numFmtId="43" fontId="61" fillId="0" borderId="0" applyFont="0" applyFill="0" applyBorder="0" applyAlignment="0" applyProtection="0"/>
    <xf numFmtId="0" fontId="60"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4"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121" fillId="0" borderId="0" applyNumberForma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188" fillId="0" borderId="0" applyNumberFormat="0" applyFill="0" applyBorder="0" applyAlignment="0" applyProtection="0"/>
    <xf numFmtId="0" fontId="48" fillId="0" borderId="0"/>
    <xf numFmtId="43" fontId="48" fillId="0" borderId="0" applyFont="0" applyFill="0" applyBorder="0" applyAlignment="0" applyProtection="0"/>
    <xf numFmtId="0" fontId="119" fillId="0" borderId="0"/>
    <xf numFmtId="0" fontId="189"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0" fontId="41" fillId="0" borderId="0"/>
    <xf numFmtId="0" fontId="41" fillId="0" borderId="0"/>
    <xf numFmtId="0" fontId="40" fillId="0" borderId="0"/>
    <xf numFmtId="43" fontId="40" fillId="0" borderId="0" applyFont="0" applyFill="0" applyBorder="0" applyAlignment="0" applyProtection="0"/>
    <xf numFmtId="0" fontId="39" fillId="0" borderId="0"/>
    <xf numFmtId="0" fontId="193" fillId="0" borderId="0"/>
    <xf numFmtId="0" fontId="38" fillId="0" borderId="0"/>
    <xf numFmtId="43" fontId="38" fillId="0" borderId="0" applyFont="0" applyFill="0" applyBorder="0" applyAlignment="0" applyProtection="0"/>
    <xf numFmtId="0" fontId="194" fillId="0" borderId="0"/>
    <xf numFmtId="0" fontId="37" fillId="0" borderId="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195"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6" fillId="0" borderId="0"/>
    <xf numFmtId="0" fontId="31" fillId="0" borderId="0"/>
    <xf numFmtId="0" fontId="30" fillId="0" borderId="0"/>
    <xf numFmtId="43" fontId="30" fillId="0" borderId="0" applyFont="0" applyFill="0" applyBorder="0" applyAlignment="0" applyProtection="0"/>
    <xf numFmtId="0" fontId="29" fillId="0" borderId="0"/>
    <xf numFmtId="0" fontId="29" fillId="0" borderId="0"/>
    <xf numFmtId="43" fontId="29"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5"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197" fillId="0" borderId="0"/>
    <xf numFmtId="0" fontId="23" fillId="0" borderId="0"/>
    <xf numFmtId="0" fontId="198"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0" fontId="20" fillId="0" borderId="0"/>
    <xf numFmtId="0" fontId="199" fillId="0" borderId="0"/>
    <xf numFmtId="0" fontId="19" fillId="0" borderId="0"/>
    <xf numFmtId="43" fontId="19"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0" fontId="10" fillId="0" borderId="0"/>
    <xf numFmtId="0" fontId="9" fillId="0" borderId="0"/>
    <xf numFmtId="43" fontId="9" fillId="0" borderId="0" applyFont="0" applyFill="0" applyBorder="0" applyAlignment="0" applyProtection="0"/>
    <xf numFmtId="0" fontId="9" fillId="0" borderId="0"/>
    <xf numFmtId="0" fontId="204" fillId="0" borderId="0"/>
    <xf numFmtId="43" fontId="72" fillId="0" borderId="0" applyFont="0" applyFill="0" applyBorder="0" applyAlignment="0" applyProtection="0"/>
    <xf numFmtId="0" fontId="8" fillId="0" borderId="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cellStyleXfs>
  <cellXfs count="644">
    <xf numFmtId="0" fontId="0" fillId="0" borderId="0" xfId="0"/>
    <xf numFmtId="0" fontId="117" fillId="0" borderId="0" xfId="0" applyFont="1" applyFill="1"/>
    <xf numFmtId="0" fontId="113" fillId="0" borderId="0" xfId="0" applyFont="1" applyFill="1" applyAlignment="1">
      <alignment horizontal="center"/>
    </xf>
    <xf numFmtId="0" fontId="110" fillId="0" borderId="0" xfId="0" applyFont="1"/>
    <xf numFmtId="0" fontId="147" fillId="0" borderId="0" xfId="0" applyFont="1" applyFill="1"/>
    <xf numFmtId="0" fontId="110" fillId="0" borderId="0" xfId="0" applyFont="1" applyFill="1"/>
    <xf numFmtId="3" fontId="110" fillId="0" borderId="0" xfId="0" applyNumberFormat="1" applyFont="1" applyFill="1"/>
    <xf numFmtId="0" fontId="117" fillId="0" borderId="0" xfId="0" applyFont="1"/>
    <xf numFmtId="0" fontId="148" fillId="0" borderId="0" xfId="3" applyFont="1" applyFill="1" applyAlignment="1">
      <alignment horizontal="center"/>
    </xf>
    <xf numFmtId="0" fontId="117" fillId="0" borderId="0" xfId="3" applyFont="1" applyFill="1"/>
    <xf numFmtId="0" fontId="147" fillId="0" borderId="0" xfId="3" applyFont="1" applyFill="1"/>
    <xf numFmtId="0" fontId="150" fillId="0" borderId="0" xfId="3" applyFont="1" applyFill="1"/>
    <xf numFmtId="49" fontId="150" fillId="0" borderId="0" xfId="3" applyNumberFormat="1" applyFont="1" applyFill="1" applyAlignment="1">
      <alignment horizontal="left" indent="1"/>
    </xf>
    <xf numFmtId="3" fontId="117" fillId="0" borderId="0" xfId="0" applyNumberFormat="1" applyFont="1" applyFill="1" applyAlignment="1"/>
    <xf numFmtId="3" fontId="117" fillId="0" borderId="0" xfId="0" applyNumberFormat="1" applyFont="1" applyFill="1"/>
    <xf numFmtId="0" fontId="152" fillId="0" borderId="0" xfId="0" applyFont="1" applyFill="1"/>
    <xf numFmtId="3" fontId="152" fillId="0" borderId="0" xfId="0" applyNumberFormat="1" applyFont="1" applyFill="1"/>
    <xf numFmtId="0" fontId="152" fillId="0" borderId="0" xfId="0" applyFont="1"/>
    <xf numFmtId="0" fontId="152" fillId="0" borderId="0" xfId="0" applyFont="1" applyFill="1" applyBorder="1"/>
    <xf numFmtId="0" fontId="151" fillId="5" borderId="24" xfId="3" applyFont="1" applyFill="1" applyBorder="1"/>
    <xf numFmtId="0" fontId="151" fillId="5" borderId="25" xfId="3" applyFont="1" applyFill="1" applyBorder="1" applyAlignment="1">
      <alignment horizontal="center" wrapText="1"/>
    </xf>
    <xf numFmtId="0" fontId="151" fillId="5" borderId="26" xfId="3" applyFont="1" applyFill="1" applyBorder="1" applyAlignment="1">
      <alignment horizontal="center"/>
    </xf>
    <xf numFmtId="38" fontId="152" fillId="0" borderId="28" xfId="1" applyNumberFormat="1" applyFont="1" applyBorder="1" applyAlignment="1">
      <alignment horizontal="right"/>
    </xf>
    <xf numFmtId="38" fontId="152" fillId="0" borderId="28" xfId="0" applyNumberFormat="1" applyFont="1" applyBorder="1"/>
    <xf numFmtId="0" fontId="152" fillId="0" borderId="30" xfId="0" applyFont="1" applyBorder="1"/>
    <xf numFmtId="0" fontId="151" fillId="5" borderId="28" xfId="3" applyFont="1" applyFill="1" applyBorder="1" applyAlignment="1">
      <alignment horizontal="center"/>
    </xf>
    <xf numFmtId="38" fontId="152" fillId="0" borderId="33" xfId="0" applyNumberFormat="1" applyFont="1" applyBorder="1"/>
    <xf numFmtId="0" fontId="152" fillId="0" borderId="0" xfId="3" applyFont="1" applyFill="1" applyAlignment="1">
      <alignment wrapText="1"/>
    </xf>
    <xf numFmtId="0" fontId="152" fillId="0" borderId="0" xfId="3" applyFont="1" applyFill="1"/>
    <xf numFmtId="43" fontId="155" fillId="0" borderId="0" xfId="1" applyFont="1" applyFill="1"/>
    <xf numFmtId="0" fontId="151" fillId="0" borderId="0" xfId="3" applyFont="1" applyFill="1"/>
    <xf numFmtId="0" fontId="151" fillId="0" borderId="0" xfId="3" applyFont="1" applyFill="1" applyBorder="1"/>
    <xf numFmtId="165" fontId="156" fillId="0" borderId="0" xfId="1" applyNumberFormat="1" applyFont="1" applyFill="1"/>
    <xf numFmtId="0" fontId="153" fillId="0" borderId="0" xfId="3" applyFont="1" applyFill="1"/>
    <xf numFmtId="0" fontId="154" fillId="0" borderId="0" xfId="3" applyFont="1" applyFill="1"/>
    <xf numFmtId="49" fontId="154" fillId="0" borderId="0" xfId="3" applyNumberFormat="1" applyFont="1" applyFill="1" applyAlignment="1">
      <alignment horizontal="left" wrapText="1"/>
    </xf>
    <xf numFmtId="49" fontId="152" fillId="0" borderId="0" xfId="3" applyNumberFormat="1" applyFont="1" applyFill="1" applyAlignment="1">
      <alignment horizontal="left" indent="1"/>
    </xf>
    <xf numFmtId="49" fontId="152" fillId="0" borderId="0" xfId="3" applyNumberFormat="1" applyFont="1" applyFill="1"/>
    <xf numFmtId="165" fontId="152" fillId="0" borderId="0" xfId="3" applyNumberFormat="1" applyFont="1" applyFill="1"/>
    <xf numFmtId="0" fontId="152" fillId="0" borderId="0" xfId="0" applyFont="1" applyFill="1" applyAlignment="1">
      <alignment horizontal="center"/>
    </xf>
    <xf numFmtId="3" fontId="152" fillId="0" borderId="0" xfId="0" applyNumberFormat="1" applyFont="1" applyFill="1" applyAlignment="1"/>
    <xf numFmtId="0" fontId="151" fillId="0" borderId="0" xfId="0" applyFont="1" applyFill="1" applyAlignment="1">
      <alignment horizontal="center"/>
    </xf>
    <xf numFmtId="0" fontId="154" fillId="0" borderId="0" xfId="0" applyFont="1"/>
    <xf numFmtId="0" fontId="149" fillId="0" borderId="0" xfId="3" applyFont="1" applyFill="1" applyAlignment="1">
      <alignment horizontal="centerContinuous"/>
    </xf>
    <xf numFmtId="165" fontId="157" fillId="0" borderId="0" xfId="1" applyNumberFormat="1" applyFont="1" applyFill="1" applyAlignment="1">
      <alignment horizontal="center"/>
    </xf>
    <xf numFmtId="0" fontId="157" fillId="0" borderId="0" xfId="3" applyFont="1" applyFill="1" applyAlignment="1">
      <alignment horizontal="center"/>
    </xf>
    <xf numFmtId="0" fontId="158" fillId="0" borderId="0" xfId="3" applyFont="1" applyFill="1"/>
    <xf numFmtId="0" fontId="113" fillId="0" borderId="0" xfId="3" applyFont="1" applyFill="1" applyAlignment="1">
      <alignment horizontal="centerContinuous"/>
    </xf>
    <xf numFmtId="165" fontId="159" fillId="0" borderId="0" xfId="1" applyNumberFormat="1" applyFont="1" applyFill="1" applyAlignment="1">
      <alignment horizontal="center"/>
    </xf>
    <xf numFmtId="0" fontId="159" fillId="0" borderId="0" xfId="3" applyFont="1" applyFill="1" applyAlignment="1">
      <alignment horizontal="center"/>
    </xf>
    <xf numFmtId="0" fontId="146" fillId="0" borderId="0" xfId="3" applyFont="1" applyFill="1"/>
    <xf numFmtId="0" fontId="154" fillId="0" borderId="29" xfId="0" applyFont="1" applyBorder="1"/>
    <xf numFmtId="0" fontId="154" fillId="0" borderId="2" xfId="0" applyFont="1" applyBorder="1"/>
    <xf numFmtId="0" fontId="154" fillId="0" borderId="27" xfId="0" applyFont="1" applyBorder="1"/>
    <xf numFmtId="0" fontId="154" fillId="0" borderId="0" xfId="0" applyFont="1" applyBorder="1"/>
    <xf numFmtId="0" fontId="153" fillId="5" borderId="27" xfId="3" applyFont="1" applyFill="1" applyBorder="1"/>
    <xf numFmtId="0" fontId="153" fillId="5" borderId="2" xfId="3" applyFont="1" applyFill="1" applyBorder="1" applyAlignment="1">
      <alignment horizontal="center" wrapText="1"/>
    </xf>
    <xf numFmtId="0" fontId="154" fillId="0" borderId="31" xfId="0" applyFont="1" applyBorder="1"/>
    <xf numFmtId="0" fontId="154" fillId="0" borderId="32" xfId="0" applyFont="1" applyBorder="1"/>
    <xf numFmtId="49" fontId="154" fillId="0" borderId="0" xfId="3" applyNumberFormat="1" applyFont="1" applyFill="1"/>
    <xf numFmtId="0" fontId="154" fillId="0" borderId="0" xfId="0" applyFont="1" applyFill="1"/>
    <xf numFmtId="5" fontId="152" fillId="0" borderId="0" xfId="0" applyNumberFormat="1" applyFont="1" applyFill="1" applyBorder="1" applyAlignment="1">
      <alignment vertical="center"/>
    </xf>
    <xf numFmtId="37" fontId="152" fillId="0" borderId="0" xfId="0" applyNumberFormat="1" applyFont="1" applyFill="1" applyBorder="1" applyAlignment="1">
      <alignment vertical="center"/>
    </xf>
    <xf numFmtId="0" fontId="147" fillId="0" borderId="0" xfId="0" applyFont="1" applyFill="1" applyAlignment="1">
      <alignment vertical="center"/>
    </xf>
    <xf numFmtId="43" fontId="117" fillId="0" borderId="0" xfId="1" applyFont="1" applyFill="1" applyAlignment="1">
      <alignment vertical="center"/>
    </xf>
    <xf numFmtId="0" fontId="117" fillId="0" borderId="0" xfId="0" applyFont="1" applyFill="1" applyAlignment="1">
      <alignment vertical="center"/>
    </xf>
    <xf numFmtId="43" fontId="110" fillId="0" borderId="0" xfId="1" applyFont="1" applyFill="1" applyAlignment="1">
      <alignment vertical="center"/>
    </xf>
    <xf numFmtId="0" fontId="110" fillId="0" borderId="0" xfId="0" applyFont="1" applyFill="1" applyAlignment="1">
      <alignment vertical="center"/>
    </xf>
    <xf numFmtId="43" fontId="152" fillId="0" borderId="0" xfId="1" applyFont="1" applyFill="1" applyAlignment="1">
      <alignment vertical="center"/>
    </xf>
    <xf numFmtId="0" fontId="152" fillId="0" borderId="0" xfId="0" applyFont="1" applyFill="1" applyAlignment="1">
      <alignment vertical="center"/>
    </xf>
    <xf numFmtId="5" fontId="161" fillId="0" borderId="0" xfId="0" applyNumberFormat="1" applyFont="1" applyFill="1" applyBorder="1" applyAlignment="1">
      <alignment vertical="center"/>
    </xf>
    <xf numFmtId="164" fontId="152" fillId="0" borderId="0" xfId="0" applyNumberFormat="1" applyFont="1" applyFill="1" applyBorder="1" applyAlignment="1">
      <alignment vertical="center"/>
    </xf>
    <xf numFmtId="37" fontId="161" fillId="0" borderId="0" xfId="0" applyNumberFormat="1" applyFont="1" applyFill="1" applyBorder="1" applyAlignment="1">
      <alignment vertical="center"/>
    </xf>
    <xf numFmtId="164" fontId="161" fillId="0" borderId="0" xfId="0" applyNumberFormat="1" applyFont="1" applyFill="1" applyBorder="1" applyAlignment="1">
      <alignment vertical="center"/>
    </xf>
    <xf numFmtId="0" fontId="152" fillId="0" borderId="0" xfId="0" applyFont="1" applyFill="1" applyBorder="1" applyAlignment="1">
      <alignment vertical="center"/>
    </xf>
    <xf numFmtId="3" fontId="152" fillId="0" borderId="0" xfId="0" applyNumberFormat="1" applyFont="1" applyFill="1" applyBorder="1" applyAlignment="1">
      <alignment vertical="center"/>
    </xf>
    <xf numFmtId="3" fontId="152" fillId="0" borderId="0" xfId="0" applyNumberFormat="1" applyFont="1" applyFill="1" applyAlignment="1">
      <alignment vertical="center"/>
    </xf>
    <xf numFmtId="3" fontId="152" fillId="0" borderId="0" xfId="0" applyNumberFormat="1" applyFont="1" applyFill="1" applyAlignment="1">
      <alignment horizontal="left" vertical="center"/>
    </xf>
    <xf numFmtId="3" fontId="110" fillId="0" borderId="0" xfId="0" applyNumberFormat="1" applyFont="1" applyFill="1" applyAlignment="1">
      <alignment vertical="center"/>
    </xf>
    <xf numFmtId="3" fontId="110" fillId="0" borderId="0" xfId="0" applyNumberFormat="1" applyFont="1" applyFill="1" applyAlignment="1">
      <alignment horizontal="left" vertical="center"/>
    </xf>
    <xf numFmtId="0" fontId="160" fillId="4" borderId="13" xfId="0" applyFont="1" applyFill="1" applyBorder="1" applyAlignment="1">
      <alignment vertical="center"/>
    </xf>
    <xf numFmtId="0" fontId="152" fillId="0" borderId="0" xfId="0" applyFont="1" applyFill="1" applyAlignment="1">
      <alignment horizontal="left" vertical="center"/>
    </xf>
    <xf numFmtId="164" fontId="151" fillId="0" borderId="0" xfId="0" applyNumberFormat="1" applyFont="1" applyFill="1" applyAlignment="1">
      <alignment horizontal="left" vertical="center"/>
    </xf>
    <xf numFmtId="3" fontId="166" fillId="0" borderId="0" xfId="0" applyNumberFormat="1" applyFont="1" applyFill="1"/>
    <xf numFmtId="41" fontId="164" fillId="0" borderId="0" xfId="4300" applyNumberFormat="1" applyFont="1"/>
    <xf numFmtId="41" fontId="164" fillId="0" borderId="0" xfId="50939" applyNumberFormat="1" applyFont="1" applyAlignment="1"/>
    <xf numFmtId="41" fontId="162" fillId="0" borderId="0" xfId="50939" applyNumberFormat="1" applyFont="1" applyFill="1" applyBorder="1" applyAlignment="1"/>
    <xf numFmtId="41" fontId="162" fillId="0" borderId="0" xfId="50939" applyNumberFormat="1" applyFont="1" applyBorder="1" applyAlignment="1"/>
    <xf numFmtId="41" fontId="162" fillId="0" borderId="12" xfId="50939" applyNumberFormat="1" applyFont="1" applyBorder="1" applyAlignment="1"/>
    <xf numFmtId="41" fontId="164" fillId="0" borderId="0" xfId="4300" applyNumberFormat="1" applyFont="1" applyFill="1" applyAlignment="1">
      <alignment horizontal="left"/>
    </xf>
    <xf numFmtId="165" fontId="164" fillId="0" borderId="0" xfId="1" applyNumberFormat="1" applyFont="1" applyAlignment="1"/>
    <xf numFmtId="0" fontId="164" fillId="0" borderId="0" xfId="50939" applyFont="1" applyAlignment="1"/>
    <xf numFmtId="169" fontId="164" fillId="0" borderId="0" xfId="50939" applyNumberFormat="1" applyFont="1" applyAlignment="1"/>
    <xf numFmtId="41" fontId="164" fillId="0" borderId="0" xfId="16" applyNumberFormat="1" applyFont="1"/>
    <xf numFmtId="41" fontId="164" fillId="0" borderId="0" xfId="16" quotePrefix="1" applyNumberFormat="1" applyFont="1" applyAlignment="1">
      <alignment horizontal="center"/>
    </xf>
    <xf numFmtId="0" fontId="164" fillId="0" borderId="0" xfId="50939" applyFont="1" applyAlignment="1">
      <alignment horizontal="left"/>
    </xf>
    <xf numFmtId="165" fontId="164" fillId="0" borderId="0" xfId="2234" applyNumberFormat="1" applyFont="1" applyAlignment="1"/>
    <xf numFmtId="0" fontId="164" fillId="0" borderId="0" xfId="4300" applyFont="1" applyBorder="1"/>
    <xf numFmtId="41" fontId="164" fillId="0" borderId="0" xfId="16" applyNumberFormat="1" applyFont="1" applyAlignment="1"/>
    <xf numFmtId="0" fontId="162" fillId="0" borderId="0" xfId="50939" applyFont="1" applyAlignment="1"/>
    <xf numFmtId="0" fontId="164" fillId="0" borderId="0" xfId="4300" applyFont="1"/>
    <xf numFmtId="8" fontId="164" fillId="0" borderId="0" xfId="4300" applyNumberFormat="1" applyFont="1"/>
    <xf numFmtId="0" fontId="164" fillId="0" borderId="0" xfId="50939" applyFont="1" applyFill="1" applyAlignment="1"/>
    <xf numFmtId="165" fontId="164" fillId="0" borderId="0" xfId="1" applyNumberFormat="1" applyFont="1" applyFill="1" applyAlignment="1"/>
    <xf numFmtId="165" fontId="164" fillId="0" borderId="0" xfId="2234" applyNumberFormat="1" applyFont="1" applyFill="1" applyAlignment="1"/>
    <xf numFmtId="166" fontId="152" fillId="0" borderId="0" xfId="3" applyNumberFormat="1" applyFont="1" applyFill="1"/>
    <xf numFmtId="43" fontId="168" fillId="0" borderId="0" xfId="1" applyFont="1" applyFill="1" applyAlignment="1">
      <alignment horizontal="center" vertical="center"/>
    </xf>
    <xf numFmtId="43" fontId="164" fillId="0" borderId="0" xfId="1" applyFont="1" applyFill="1" applyAlignment="1">
      <alignment vertical="center"/>
    </xf>
    <xf numFmtId="0" fontId="162" fillId="3" borderId="11" xfId="0" applyFont="1" applyFill="1" applyBorder="1" applyAlignment="1">
      <alignment vertical="center"/>
    </xf>
    <xf numFmtId="0" fontId="162" fillId="3" borderId="34" xfId="0" applyFont="1" applyFill="1" applyBorder="1" applyAlignment="1">
      <alignment horizontal="center" vertical="center"/>
    </xf>
    <xf numFmtId="3" fontId="162" fillId="3" borderId="2" xfId="0" applyNumberFormat="1" applyFont="1" applyFill="1" applyBorder="1" applyAlignment="1">
      <alignment horizontal="center" vertical="center" wrapText="1"/>
    </xf>
    <xf numFmtId="3" fontId="162" fillId="3" borderId="2" xfId="0" applyNumberFormat="1" applyFont="1" applyFill="1" applyBorder="1" applyAlignment="1">
      <alignment horizontal="center" vertical="center"/>
    </xf>
    <xf numFmtId="5" fontId="165" fillId="0" borderId="0" xfId="10" applyNumberFormat="1" applyFont="1" applyFill="1" applyBorder="1" applyAlignment="1">
      <alignment horizontal="left" vertical="center"/>
    </xf>
    <xf numFmtId="5" fontId="165" fillId="0" borderId="0" xfId="10" applyNumberFormat="1" applyFont="1" applyFill="1" applyBorder="1" applyAlignment="1">
      <alignment vertical="center"/>
    </xf>
    <xf numFmtId="42" fontId="164" fillId="0" borderId="0" xfId="1" applyNumberFormat="1" applyFont="1" applyFill="1" applyBorder="1" applyAlignment="1">
      <alignment horizontal="left" vertical="center"/>
    </xf>
    <xf numFmtId="42" fontId="164" fillId="0" borderId="0" xfId="1" applyNumberFormat="1" applyFont="1" applyFill="1" applyBorder="1" applyAlignment="1">
      <alignment horizontal="center" vertical="center"/>
    </xf>
    <xf numFmtId="42" fontId="164" fillId="0" borderId="0" xfId="1" applyNumberFormat="1" applyFont="1" applyBorder="1" applyAlignment="1">
      <alignment horizontal="center" vertical="center"/>
    </xf>
    <xf numFmtId="165" fontId="164" fillId="0" borderId="0" xfId="1" applyNumberFormat="1" applyFont="1" applyFill="1" applyBorder="1" applyAlignment="1">
      <alignment vertical="center"/>
    </xf>
    <xf numFmtId="164" fontId="162" fillId="0" borderId="4" xfId="10" applyNumberFormat="1" applyFont="1" applyFill="1" applyBorder="1" applyAlignment="1">
      <alignment horizontal="left" vertical="center"/>
    </xf>
    <xf numFmtId="0" fontId="164" fillId="0" borderId="9" xfId="10" applyFont="1" applyBorder="1" applyAlignment="1">
      <alignment horizontal="center" vertical="center"/>
    </xf>
    <xf numFmtId="42" fontId="162" fillId="0" borderId="2" xfId="1" applyNumberFormat="1" applyFont="1" applyFill="1" applyBorder="1" applyAlignment="1">
      <alignment horizontal="left" vertical="center"/>
    </xf>
    <xf numFmtId="42" fontId="162" fillId="0" borderId="2" xfId="1" applyNumberFormat="1" applyFont="1" applyFill="1" applyBorder="1" applyAlignment="1">
      <alignment horizontal="center" vertical="center"/>
    </xf>
    <xf numFmtId="37" fontId="165" fillId="0" borderId="0" xfId="10" applyNumberFormat="1" applyFont="1" applyFill="1" applyBorder="1" applyAlignment="1">
      <alignment horizontal="left" vertical="center"/>
    </xf>
    <xf numFmtId="0" fontId="165" fillId="0" borderId="0" xfId="10" applyFont="1" applyFill="1" applyBorder="1" applyAlignment="1">
      <alignment vertical="center"/>
    </xf>
    <xf numFmtId="37" fontId="162" fillId="0" borderId="4" xfId="10" applyNumberFormat="1" applyFont="1" applyFill="1" applyBorder="1" applyAlignment="1">
      <alignment horizontal="left" vertical="center"/>
    </xf>
    <xf numFmtId="37" fontId="165" fillId="0" borderId="0" xfId="10" applyNumberFormat="1" applyFont="1" applyFill="1" applyBorder="1" applyAlignment="1">
      <alignment vertical="center"/>
    </xf>
    <xf numFmtId="0" fontId="165" fillId="0" borderId="0" xfId="10" applyFont="1" applyFill="1" applyBorder="1" applyAlignment="1">
      <alignment horizontal="left" vertical="center"/>
    </xf>
    <xf numFmtId="164" fontId="162" fillId="0" borderId="0" xfId="10" applyNumberFormat="1" applyFont="1" applyFill="1" applyBorder="1" applyAlignment="1">
      <alignment horizontal="left" vertical="center"/>
    </xf>
    <xf numFmtId="0" fontId="164" fillId="0" borderId="0" xfId="10" applyFont="1" applyBorder="1" applyAlignment="1">
      <alignment horizontal="center" vertical="center"/>
    </xf>
    <xf numFmtId="42" fontId="162" fillId="0" borderId="0" xfId="1" applyNumberFormat="1" applyFont="1" applyFill="1" applyBorder="1" applyAlignment="1">
      <alignment horizontal="left" vertical="center"/>
    </xf>
    <xf numFmtId="42" fontId="162" fillId="0" borderId="0" xfId="1" applyNumberFormat="1" applyFont="1" applyFill="1" applyBorder="1" applyAlignment="1">
      <alignment horizontal="center" vertical="center"/>
    </xf>
    <xf numFmtId="164" fontId="162" fillId="0" borderId="35" xfId="10" applyNumberFormat="1" applyFont="1" applyFill="1" applyBorder="1" applyAlignment="1">
      <alignment horizontal="left" vertical="center"/>
    </xf>
    <xf numFmtId="164" fontId="164" fillId="0" borderId="36" xfId="10" applyNumberFormat="1" applyFont="1" applyFill="1" applyBorder="1" applyAlignment="1">
      <alignment vertical="center"/>
    </xf>
    <xf numFmtId="42" fontId="162" fillId="0" borderId="38" xfId="1" applyNumberFormat="1" applyFont="1" applyFill="1" applyBorder="1" applyAlignment="1">
      <alignment horizontal="left" vertical="center"/>
    </xf>
    <xf numFmtId="0" fontId="167" fillId="0" borderId="0" xfId="10" applyFont="1" applyFill="1" applyBorder="1" applyAlignment="1">
      <alignment horizontal="left" vertical="center"/>
    </xf>
    <xf numFmtId="0" fontId="169" fillId="0" borderId="0" xfId="10" applyFont="1" applyFill="1" applyBorder="1" applyAlignment="1">
      <alignment horizontal="left" vertical="center"/>
    </xf>
    <xf numFmtId="164" fontId="165" fillId="0" borderId="0" xfId="10" applyNumberFormat="1" applyFont="1" applyFill="1" applyBorder="1" applyAlignment="1">
      <alignment horizontal="left" vertical="center"/>
    </xf>
    <xf numFmtId="164" fontId="165" fillId="0" borderId="0" xfId="10" applyNumberFormat="1" applyFont="1" applyFill="1" applyBorder="1" applyAlignment="1">
      <alignment horizontal="center" vertical="center"/>
    </xf>
    <xf numFmtId="164" fontId="164" fillId="0" borderId="12" xfId="10" applyNumberFormat="1" applyFont="1" applyFill="1" applyBorder="1" applyAlignment="1">
      <alignment vertical="center"/>
    </xf>
    <xf numFmtId="0" fontId="117" fillId="0" borderId="0" xfId="0" applyFont="1" applyFill="1" applyBorder="1" applyAlignment="1">
      <alignment vertical="center"/>
    </xf>
    <xf numFmtId="3" fontId="117" fillId="0" borderId="0" xfId="0" applyNumberFormat="1" applyFont="1" applyFill="1" applyBorder="1" applyAlignment="1">
      <alignment vertical="center"/>
    </xf>
    <xf numFmtId="3" fontId="117" fillId="0" borderId="0" xfId="0" applyNumberFormat="1" applyFont="1" applyFill="1" applyBorder="1" applyAlignment="1">
      <alignment horizontal="left" vertical="center"/>
    </xf>
    <xf numFmtId="43" fontId="117" fillId="0" borderId="0" xfId="1" applyFont="1" applyFill="1" applyBorder="1" applyAlignment="1">
      <alignment vertical="center"/>
    </xf>
    <xf numFmtId="3" fontId="117" fillId="0" borderId="0" xfId="0" applyNumberFormat="1" applyFont="1" applyFill="1" applyAlignment="1">
      <alignment vertical="center"/>
    </xf>
    <xf numFmtId="3" fontId="117" fillId="0" borderId="0" xfId="0" applyNumberFormat="1" applyFont="1" applyFill="1" applyAlignment="1">
      <alignment horizontal="left" vertical="center"/>
    </xf>
    <xf numFmtId="0" fontId="162" fillId="0" borderId="0" xfId="0" applyFont="1" applyFill="1" applyAlignment="1">
      <alignment vertical="center"/>
    </xf>
    <xf numFmtId="0" fontId="164" fillId="0" borderId="0" xfId="0" applyFont="1" applyFill="1" applyAlignment="1">
      <alignment vertical="center"/>
    </xf>
    <xf numFmtId="3" fontId="164" fillId="0" borderId="0" xfId="0" applyNumberFormat="1" applyFont="1" applyFill="1" applyAlignment="1">
      <alignment vertical="center"/>
    </xf>
    <xf numFmtId="3" fontId="164" fillId="0" borderId="0" xfId="0" applyNumberFormat="1" applyFont="1" applyFill="1" applyAlignment="1">
      <alignment horizontal="left" vertical="center"/>
    </xf>
    <xf numFmtId="0" fontId="164" fillId="0" borderId="0" xfId="0" applyFont="1" applyFill="1" applyAlignment="1">
      <alignment vertical="top" wrapText="1"/>
    </xf>
    <xf numFmtId="0" fontId="167" fillId="0" borderId="0" xfId="0" applyFont="1" applyFill="1" applyBorder="1" applyAlignment="1">
      <alignment horizontal="centerContinuous"/>
    </xf>
    <xf numFmtId="0" fontId="162" fillId="0" borderId="0" xfId="0" applyFont="1" applyFill="1" applyBorder="1" applyAlignment="1">
      <alignment horizontal="centerContinuous"/>
    </xf>
    <xf numFmtId="0" fontId="164" fillId="0" borderId="0" xfId="0" applyFont="1" applyFill="1"/>
    <xf numFmtId="0" fontId="162" fillId="0" borderId="0" xfId="0" applyFont="1" applyFill="1" applyAlignment="1">
      <alignment horizontal="center"/>
    </xf>
    <xf numFmtId="3" fontId="164" fillId="0" borderId="0" xfId="0" applyNumberFormat="1" applyFont="1" applyFill="1" applyAlignment="1"/>
    <xf numFmtId="3" fontId="164" fillId="0" borderId="0" xfId="0" applyNumberFormat="1" applyFont="1" applyFill="1"/>
    <xf numFmtId="0" fontId="162" fillId="3" borderId="8" xfId="0" applyFont="1" applyFill="1" applyBorder="1"/>
    <xf numFmtId="3" fontId="162" fillId="3" borderId="8" xfId="0" applyNumberFormat="1" applyFont="1" applyFill="1" applyBorder="1" applyAlignment="1">
      <alignment horizontal="center"/>
    </xf>
    <xf numFmtId="3" fontId="162" fillId="5" borderId="6" xfId="0" applyNumberFormat="1" applyFont="1" applyFill="1" applyBorder="1" applyAlignment="1">
      <alignment horizontal="center"/>
    </xf>
    <xf numFmtId="3" fontId="162" fillId="3" borderId="6" xfId="0" applyNumberFormat="1" applyFont="1" applyFill="1" applyBorder="1" applyAlignment="1">
      <alignment horizontal="center"/>
    </xf>
    <xf numFmtId="0" fontId="162" fillId="3" borderId="11" xfId="11" applyFont="1" applyFill="1" applyBorder="1" applyAlignment="1">
      <alignment horizontal="center"/>
    </xf>
    <xf numFmtId="3" fontId="162" fillId="3" borderId="11" xfId="11" applyNumberFormat="1" applyFont="1" applyFill="1" applyBorder="1" applyAlignment="1">
      <alignment horizontal="center"/>
    </xf>
    <xf numFmtId="3" fontId="162" fillId="3" borderId="23" xfId="11" applyNumberFormat="1" applyFont="1" applyFill="1" applyBorder="1" applyAlignment="1">
      <alignment horizontal="center"/>
    </xf>
    <xf numFmtId="3" fontId="162" fillId="5" borderId="23" xfId="11" applyNumberFormat="1" applyFont="1" applyFill="1" applyBorder="1" applyAlignment="1">
      <alignment horizontal="center"/>
    </xf>
    <xf numFmtId="3" fontId="162" fillId="3" borderId="23" xfId="0" applyNumberFormat="1" applyFont="1" applyFill="1" applyBorder="1" applyAlignment="1">
      <alignment horizontal="center"/>
    </xf>
    <xf numFmtId="0" fontId="162" fillId="0" borderId="0" xfId="11" applyFont="1" applyFill="1" applyBorder="1" applyAlignment="1">
      <alignment horizontal="center"/>
    </xf>
    <xf numFmtId="3" fontId="162" fillId="0" borderId="0" xfId="11" applyNumberFormat="1" applyFont="1" applyFill="1" applyBorder="1" applyAlignment="1">
      <alignment horizontal="center"/>
    </xf>
    <xf numFmtId="3" fontId="162" fillId="0" borderId="0" xfId="0" applyNumberFormat="1" applyFont="1" applyFill="1" applyBorder="1" applyAlignment="1">
      <alignment horizontal="center"/>
    </xf>
    <xf numFmtId="0" fontId="165" fillId="0" borderId="0" xfId="10" applyFont="1" applyFill="1" applyBorder="1" applyAlignment="1">
      <alignment horizontal="left"/>
    </xf>
    <xf numFmtId="3" fontId="165" fillId="0" borderId="0" xfId="10" quotePrefix="1" applyNumberFormat="1" applyFont="1" applyFill="1" applyBorder="1" applyAlignment="1">
      <alignment horizontal="center"/>
    </xf>
    <xf numFmtId="42" fontId="164" fillId="0" borderId="0" xfId="0" applyNumberFormat="1" applyFont="1" applyFill="1" applyBorder="1" applyAlignment="1"/>
    <xf numFmtId="43" fontId="164" fillId="0" borderId="0" xfId="1" applyFont="1" applyFill="1"/>
    <xf numFmtId="1" fontId="165" fillId="0" borderId="0" xfId="10" quotePrefix="1" applyNumberFormat="1" applyFont="1" applyFill="1" applyBorder="1" applyAlignment="1">
      <alignment horizontal="center"/>
    </xf>
    <xf numFmtId="164" fontId="162" fillId="0" borderId="4" xfId="10" applyNumberFormat="1" applyFont="1" applyFill="1" applyBorder="1" applyAlignment="1">
      <alignment horizontal="left" indent="3"/>
    </xf>
    <xf numFmtId="164" fontId="167" fillId="0" borderId="9" xfId="10" quotePrefix="1" applyNumberFormat="1" applyFont="1" applyFill="1" applyBorder="1" applyAlignment="1">
      <alignment horizontal="center"/>
    </xf>
    <xf numFmtId="42" fontId="162" fillId="0" borderId="2" xfId="0" applyNumberFormat="1" applyFont="1" applyFill="1" applyBorder="1" applyAlignment="1"/>
    <xf numFmtId="164" fontId="167" fillId="0" borderId="0" xfId="10" applyNumberFormat="1" applyFont="1" applyFill="1" applyBorder="1" applyAlignment="1">
      <alignment horizontal="left" indent="3"/>
    </xf>
    <xf numFmtId="164" fontId="167" fillId="0" borderId="0" xfId="10" quotePrefix="1" applyNumberFormat="1" applyFont="1" applyFill="1" applyBorder="1" applyAlignment="1">
      <alignment horizontal="center"/>
    </xf>
    <xf numFmtId="42" fontId="162" fillId="0" borderId="0" xfId="0" applyNumberFormat="1" applyFont="1" applyFill="1" applyBorder="1" applyAlignment="1"/>
    <xf numFmtId="0" fontId="165" fillId="0" borderId="0" xfId="0" applyFont="1" applyFill="1" applyBorder="1" applyAlignment="1">
      <alignment horizontal="left"/>
    </xf>
    <xf numFmtId="3" fontId="165" fillId="0" borderId="0" xfId="0" quotePrefix="1" applyNumberFormat="1" applyFont="1" applyFill="1" applyBorder="1" applyAlignment="1">
      <alignment horizontal="center"/>
    </xf>
    <xf numFmtId="164" fontId="167" fillId="0" borderId="9" xfId="10" applyNumberFormat="1" applyFont="1" applyFill="1" applyBorder="1" applyAlignment="1">
      <alignment horizontal="center"/>
    </xf>
    <xf numFmtId="164" fontId="167" fillId="0" borderId="0" xfId="10" applyNumberFormat="1" applyFont="1" applyFill="1" applyBorder="1" applyAlignment="1">
      <alignment horizontal="center"/>
    </xf>
    <xf numFmtId="0" fontId="165" fillId="0" borderId="0" xfId="10" applyFont="1" applyBorder="1"/>
    <xf numFmtId="0" fontId="165" fillId="0" borderId="0" xfId="10" quotePrefix="1" applyFont="1" applyBorder="1" applyAlignment="1">
      <alignment horizontal="center"/>
    </xf>
    <xf numFmtId="0" fontId="165" fillId="0" borderId="0" xfId="10" applyFont="1" applyBorder="1" applyAlignment="1">
      <alignment horizontal="center"/>
    </xf>
    <xf numFmtId="164" fontId="165" fillId="0" borderId="0" xfId="10" applyNumberFormat="1" applyFont="1" applyFill="1" applyBorder="1" applyAlignment="1">
      <alignment horizontal="left"/>
    </xf>
    <xf numFmtId="164" fontId="165" fillId="0" borderId="0" xfId="10" quotePrefix="1" applyNumberFormat="1" applyFont="1" applyFill="1" applyBorder="1" applyAlignment="1">
      <alignment horizontal="center"/>
    </xf>
    <xf numFmtId="0" fontId="165" fillId="0" borderId="0" xfId="10" applyFont="1" applyFill="1" applyBorder="1"/>
    <xf numFmtId="0" fontId="165" fillId="0" borderId="0" xfId="10" quotePrefix="1" applyFont="1" applyFill="1" applyBorder="1" applyAlignment="1">
      <alignment horizontal="center"/>
    </xf>
    <xf numFmtId="0" fontId="165" fillId="0" borderId="0" xfId="10" applyFont="1" applyBorder="1" applyAlignment="1">
      <alignment horizontal="center" wrapText="1"/>
    </xf>
    <xf numFmtId="42" fontId="162" fillId="0" borderId="9" xfId="0" applyNumberFormat="1" applyFont="1" applyFill="1" applyBorder="1" applyAlignment="1"/>
    <xf numFmtId="0" fontId="165" fillId="0" borderId="0" xfId="10" applyFont="1" applyBorder="1" applyAlignment="1">
      <alignment horizontal="left"/>
    </xf>
    <xf numFmtId="164" fontId="162" fillId="0" borderId="9" xfId="10" applyNumberFormat="1" applyFont="1" applyFill="1" applyBorder="1" applyAlignment="1">
      <alignment horizontal="center"/>
    </xf>
    <xf numFmtId="164" fontId="162" fillId="0" borderId="0" xfId="10" applyNumberFormat="1" applyFont="1" applyFill="1" applyBorder="1" applyAlignment="1">
      <alignment horizontal="left" indent="3"/>
    </xf>
    <xf numFmtId="164" fontId="162" fillId="0" borderId="0" xfId="10" applyNumberFormat="1" applyFont="1" applyFill="1" applyBorder="1" applyAlignment="1">
      <alignment horizontal="center"/>
    </xf>
    <xf numFmtId="164" fontId="162" fillId="0" borderId="35" xfId="10" applyNumberFormat="1" applyFont="1" applyFill="1" applyBorder="1"/>
    <xf numFmtId="164" fontId="162" fillId="0" borderId="36" xfId="10" applyNumberFormat="1" applyFont="1" applyFill="1" applyBorder="1" applyAlignment="1">
      <alignment horizontal="center"/>
    </xf>
    <xf numFmtId="42" fontId="162" fillId="0" borderId="36" xfId="0" applyNumberFormat="1" applyFont="1" applyFill="1" applyBorder="1" applyAlignment="1"/>
    <xf numFmtId="42" fontId="162" fillId="0" borderId="38" xfId="0" applyNumberFormat="1" applyFont="1" applyFill="1" applyBorder="1" applyAlignment="1"/>
    <xf numFmtId="0" fontId="167" fillId="0" borderId="0" xfId="0" applyFont="1" applyFill="1" applyAlignment="1">
      <alignment horizontal="centerContinuous"/>
    </xf>
    <xf numFmtId="0" fontId="162" fillId="0" borderId="0" xfId="0" applyFont="1" applyFill="1" applyAlignment="1">
      <alignment horizontal="centerContinuous"/>
    </xf>
    <xf numFmtId="0" fontId="164" fillId="5" borderId="10" xfId="0" applyFont="1" applyFill="1" applyBorder="1" applyAlignment="1">
      <alignment horizontal="center"/>
    </xf>
    <xf numFmtId="0" fontId="164" fillId="5" borderId="6" xfId="0" applyFont="1" applyFill="1" applyBorder="1" applyAlignment="1"/>
    <xf numFmtId="0" fontId="164" fillId="5" borderId="6" xfId="0" applyFont="1" applyFill="1" applyBorder="1" applyAlignment="1">
      <alignment horizontal="center"/>
    </xf>
    <xf numFmtId="0" fontId="164" fillId="5" borderId="7" xfId="0" applyFont="1" applyFill="1" applyBorder="1" applyAlignment="1">
      <alignment horizontal="center"/>
    </xf>
    <xf numFmtId="0" fontId="167" fillId="3" borderId="11" xfId="0" applyFont="1" applyFill="1" applyBorder="1" applyAlignment="1">
      <alignment horizontal="center" vertical="center"/>
    </xf>
    <xf numFmtId="0" fontId="167" fillId="3" borderId="3" xfId="0" applyFont="1" applyFill="1" applyBorder="1" applyAlignment="1">
      <alignment horizontal="center" vertical="center"/>
    </xf>
    <xf numFmtId="3" fontId="162" fillId="3" borderId="23" xfId="0" applyNumberFormat="1" applyFont="1" applyFill="1" applyBorder="1" applyAlignment="1">
      <alignment horizontal="center" vertical="center"/>
    </xf>
    <xf numFmtId="3" fontId="167" fillId="3" borderId="3" xfId="0" applyNumberFormat="1" applyFont="1" applyFill="1" applyBorder="1" applyAlignment="1">
      <alignment horizontal="center" vertical="center" wrapText="1"/>
    </xf>
    <xf numFmtId="3" fontId="162" fillId="3" borderId="3" xfId="0" applyNumberFormat="1" applyFont="1" applyFill="1" applyBorder="1" applyAlignment="1">
      <alignment horizontal="center" vertical="center" wrapText="1"/>
    </xf>
    <xf numFmtId="3" fontId="162" fillId="3" borderId="12" xfId="0" applyNumberFormat="1" applyFont="1" applyFill="1" applyBorder="1" applyAlignment="1">
      <alignment horizontal="center" vertical="center" wrapText="1"/>
    </xf>
    <xf numFmtId="3" fontId="162" fillId="3" borderId="23" xfId="0" applyNumberFormat="1" applyFont="1" applyFill="1" applyBorder="1" applyAlignment="1">
      <alignment horizontal="center" vertical="center" wrapText="1"/>
    </xf>
    <xf numFmtId="3" fontId="162" fillId="3" borderId="34" xfId="0" applyNumberFormat="1" applyFont="1" applyFill="1" applyBorder="1" applyAlignment="1">
      <alignment horizontal="center" vertical="center" wrapText="1"/>
    </xf>
    <xf numFmtId="0" fontId="167" fillId="0" borderId="0" xfId="0" applyFont="1" applyFill="1" applyBorder="1" applyAlignment="1">
      <alignment horizontal="center" vertical="center"/>
    </xf>
    <xf numFmtId="3" fontId="162" fillId="0" borderId="0" xfId="0" applyNumberFormat="1" applyFont="1" applyFill="1" applyBorder="1" applyAlignment="1">
      <alignment horizontal="center" vertical="center"/>
    </xf>
    <xf numFmtId="3" fontId="167" fillId="0" borderId="0" xfId="0" applyNumberFormat="1" applyFont="1" applyFill="1" applyBorder="1" applyAlignment="1">
      <alignment horizontal="center" vertical="center" wrapText="1"/>
    </xf>
    <xf numFmtId="3" fontId="162" fillId="0" borderId="0" xfId="0" applyNumberFormat="1" applyFont="1" applyFill="1" applyBorder="1" applyAlignment="1">
      <alignment horizontal="center" vertical="center" wrapText="1"/>
    </xf>
    <xf numFmtId="42" fontId="164" fillId="0" borderId="0" xfId="0" applyNumberFormat="1" applyFont="1" applyFill="1" applyBorder="1" applyAlignment="1">
      <alignment horizontal="right" vertical="center"/>
    </xf>
    <xf numFmtId="42" fontId="162" fillId="0" borderId="2" xfId="0" applyNumberFormat="1" applyFont="1" applyFill="1" applyBorder="1" applyAlignment="1">
      <alignment horizontal="right" vertical="center"/>
    </xf>
    <xf numFmtId="5" fontId="162" fillId="0" borderId="0" xfId="0" applyNumberFormat="1" applyFont="1" applyFill="1" applyBorder="1" applyAlignment="1">
      <alignment horizontal="left" vertical="center"/>
    </xf>
    <xf numFmtId="37" fontId="162" fillId="0" borderId="0" xfId="0" applyNumberFormat="1" applyFont="1" applyFill="1" applyBorder="1" applyAlignment="1">
      <alignment horizontal="left" vertical="center"/>
    </xf>
    <xf numFmtId="164" fontId="167" fillId="0" borderId="37" xfId="10" applyNumberFormat="1" applyFont="1" applyFill="1" applyBorder="1" applyAlignment="1">
      <alignment horizontal="left" vertical="center"/>
    </xf>
    <xf numFmtId="42" fontId="162" fillId="0" borderId="37" xfId="0" applyNumberFormat="1" applyFont="1" applyFill="1" applyBorder="1" applyAlignment="1">
      <alignment horizontal="left" vertical="center"/>
    </xf>
    <xf numFmtId="0" fontId="164" fillId="0" borderId="0" xfId="0" applyFont="1" applyFill="1" applyBorder="1" applyAlignment="1">
      <alignment horizontal="center"/>
    </xf>
    <xf numFmtId="0" fontId="164" fillId="5" borderId="8" xfId="0" applyFont="1" applyFill="1" applyBorder="1" applyAlignment="1">
      <alignment horizontal="center"/>
    </xf>
    <xf numFmtId="0" fontId="167" fillId="0" borderId="0" xfId="3" applyFont="1" applyFill="1" applyAlignment="1">
      <alignment horizontal="centerContinuous"/>
    </xf>
    <xf numFmtId="0" fontId="162" fillId="0" borderId="0" xfId="3" applyFont="1" applyFill="1" applyAlignment="1">
      <alignment horizontal="centerContinuous"/>
    </xf>
    <xf numFmtId="0" fontId="170" fillId="0" borderId="0" xfId="3" applyFont="1" applyFill="1" applyAlignment="1">
      <alignment horizontal="center"/>
    </xf>
    <xf numFmtId="49" fontId="170" fillId="0" borderId="0" xfId="3" applyNumberFormat="1" applyFont="1" applyFill="1" applyAlignment="1">
      <alignment horizontal="left" indent="1"/>
    </xf>
    <xf numFmtId="0" fontId="162" fillId="3" borderId="0" xfId="3" applyFont="1" applyFill="1" applyBorder="1" applyAlignment="1">
      <alignment horizontal="center" wrapText="1"/>
    </xf>
    <xf numFmtId="0" fontId="117" fillId="0" borderId="0" xfId="3" applyFont="1" applyFill="1" applyAlignment="1">
      <alignment wrapText="1"/>
    </xf>
    <xf numFmtId="0" fontId="164" fillId="0" borderId="0" xfId="3" applyFont="1" applyFill="1" applyBorder="1"/>
    <xf numFmtId="49" fontId="164" fillId="0" borderId="0" xfId="3" applyNumberFormat="1" applyFont="1" applyFill="1" applyBorder="1" applyAlignment="1">
      <alignment horizontal="left" indent="1"/>
    </xf>
    <xf numFmtId="0" fontId="164" fillId="0" borderId="0" xfId="3" applyFont="1" applyFill="1"/>
    <xf numFmtId="0" fontId="165" fillId="0" borderId="0" xfId="1" quotePrefix="1" applyNumberFormat="1" applyFont="1" applyFill="1" applyBorder="1" applyAlignment="1">
      <alignment vertical="top"/>
    </xf>
    <xf numFmtId="165" fontId="165" fillId="0" borderId="0" xfId="1" applyNumberFormat="1" applyFont="1" applyFill="1" applyBorder="1" applyAlignment="1">
      <alignment vertical="top" wrapText="1"/>
    </xf>
    <xf numFmtId="166" fontId="164" fillId="0" borderId="0" xfId="2" applyNumberFormat="1" applyFont="1" applyFill="1" applyBorder="1"/>
    <xf numFmtId="49" fontId="164" fillId="0" borderId="0" xfId="2" applyNumberFormat="1" applyFont="1" applyFill="1" applyBorder="1" applyAlignment="1">
      <alignment horizontal="center"/>
    </xf>
    <xf numFmtId="43" fontId="171" fillId="0" borderId="0" xfId="1" applyFont="1" applyFill="1"/>
    <xf numFmtId="0" fontId="162" fillId="0" borderId="2" xfId="3" applyFont="1" applyFill="1" applyBorder="1" applyAlignment="1"/>
    <xf numFmtId="0" fontId="167" fillId="0" borderId="2" xfId="3" applyFont="1" applyFill="1" applyBorder="1"/>
    <xf numFmtId="166" fontId="162" fillId="0" borderId="2" xfId="2" applyNumberFormat="1" applyFont="1" applyFill="1" applyBorder="1"/>
    <xf numFmtId="165" fontId="172" fillId="0" borderId="0" xfId="1" applyNumberFormat="1" applyFont="1" applyFill="1" applyBorder="1"/>
    <xf numFmtId="165" fontId="170" fillId="0" borderId="0" xfId="1" applyNumberFormat="1" applyFont="1" applyFill="1" applyBorder="1" applyAlignment="1">
      <alignment horizontal="center"/>
    </xf>
    <xf numFmtId="165" fontId="173" fillId="0" borderId="0" xfId="1" applyNumberFormat="1" applyFont="1" applyFill="1" applyBorder="1"/>
    <xf numFmtId="49" fontId="172" fillId="0" borderId="0" xfId="1" applyNumberFormat="1" applyFont="1" applyFill="1" applyBorder="1" applyAlignment="1">
      <alignment horizontal="center"/>
    </xf>
    <xf numFmtId="43" fontId="172" fillId="0" borderId="0" xfId="1" applyFont="1" applyFill="1" applyBorder="1" applyAlignment="1">
      <alignment horizontal="center"/>
    </xf>
    <xf numFmtId="0" fontId="162" fillId="0" borderId="38" xfId="3" applyFont="1" applyFill="1" applyBorder="1"/>
    <xf numFmtId="0" fontId="167" fillId="0" borderId="38" xfId="3" applyFont="1" applyFill="1" applyBorder="1"/>
    <xf numFmtId="166" fontId="162" fillId="0" borderId="38" xfId="2" applyNumberFormat="1" applyFont="1" applyFill="1" applyBorder="1"/>
    <xf numFmtId="0" fontId="169" fillId="0" borderId="0" xfId="3" applyFont="1" applyFill="1" applyBorder="1"/>
    <xf numFmtId="0" fontId="167" fillId="0" borderId="0" xfId="3" applyFont="1" applyFill="1" applyBorder="1"/>
    <xf numFmtId="166" fontId="162" fillId="0" borderId="0" xfId="2" applyNumberFormat="1" applyFont="1" applyFill="1" applyBorder="1"/>
    <xf numFmtId="49" fontId="162" fillId="0" borderId="0" xfId="2" applyNumberFormat="1" applyFont="1" applyFill="1" applyBorder="1" applyAlignment="1">
      <alignment horizontal="center"/>
    </xf>
    <xf numFmtId="43" fontId="162" fillId="0" borderId="0" xfId="1" applyFont="1" applyFill="1" applyBorder="1" applyAlignment="1">
      <alignment horizontal="center"/>
    </xf>
    <xf numFmtId="0" fontId="165" fillId="0" borderId="0" xfId="3" applyFont="1" applyFill="1" applyBorder="1" applyAlignment="1">
      <alignment horizontal="left" indent="1"/>
    </xf>
    <xf numFmtId="0" fontId="165" fillId="0" borderId="0" xfId="3" applyFont="1" applyFill="1" applyBorder="1"/>
    <xf numFmtId="0" fontId="167" fillId="0" borderId="0" xfId="3" applyFont="1" applyFill="1" applyBorder="1" applyAlignment="1">
      <alignment horizontal="left" indent="1"/>
    </xf>
    <xf numFmtId="166" fontId="165" fillId="0" borderId="0" xfId="2" applyNumberFormat="1" applyFont="1" applyFill="1" applyBorder="1"/>
    <xf numFmtId="49" fontId="165" fillId="0" borderId="0" xfId="2" applyNumberFormat="1" applyFont="1" applyFill="1" applyBorder="1" applyAlignment="1">
      <alignment horizontal="center"/>
    </xf>
    <xf numFmtId="0" fontId="164" fillId="0" borderId="0" xfId="3" applyFont="1" applyFill="1" applyBorder="1" applyAlignment="1">
      <alignment horizontal="left" indent="1"/>
    </xf>
    <xf numFmtId="166" fontId="171" fillId="0" borderId="0" xfId="3" applyNumberFormat="1" applyFont="1" applyFill="1" applyBorder="1"/>
    <xf numFmtId="0" fontId="162" fillId="0" borderId="0" xfId="3" applyFont="1" applyFill="1" applyBorder="1"/>
    <xf numFmtId="0" fontId="165" fillId="0" borderId="0" xfId="3" applyNumberFormat="1" applyFont="1" applyFill="1" applyAlignment="1">
      <alignment horizontal="left"/>
    </xf>
    <xf numFmtId="49" fontId="165" fillId="0" borderId="0" xfId="3" applyNumberFormat="1" applyFont="1" applyFill="1" applyAlignment="1">
      <alignment wrapText="1"/>
    </xf>
    <xf numFmtId="43" fontId="165" fillId="0" borderId="0" xfId="1" applyFont="1" applyFill="1" applyAlignment="1">
      <alignment wrapText="1"/>
    </xf>
    <xf numFmtId="0" fontId="164" fillId="0" borderId="0" xfId="0" applyFont="1"/>
    <xf numFmtId="49" fontId="165" fillId="0" borderId="0" xfId="3" applyNumberFormat="1" applyFont="1" applyFill="1" applyAlignment="1">
      <alignment horizontal="left" wrapText="1"/>
    </xf>
    <xf numFmtId="0" fontId="164" fillId="0" borderId="0" xfId="4300" applyFont="1" applyFill="1"/>
    <xf numFmtId="0" fontId="162" fillId="0" borderId="0" xfId="4300" applyFont="1" applyAlignment="1">
      <alignment horizontal="left"/>
    </xf>
    <xf numFmtId="0" fontId="162" fillId="0" borderId="0" xfId="4300" applyFont="1" applyAlignment="1"/>
    <xf numFmtId="49" fontId="162" fillId="0" borderId="0" xfId="4300" applyNumberFormat="1" applyFont="1" applyAlignment="1">
      <alignment horizontal="left"/>
    </xf>
    <xf numFmtId="0" fontId="162" fillId="0" borderId="0" xfId="4300" applyFont="1" applyAlignment="1">
      <alignment horizontal="center"/>
    </xf>
    <xf numFmtId="41" fontId="162" fillId="0" borderId="0" xfId="4300" applyNumberFormat="1" applyFont="1" applyAlignment="1">
      <alignment horizontal="center"/>
    </xf>
    <xf numFmtId="38" fontId="164" fillId="0" borderId="46" xfId="4300" applyNumberFormat="1" applyFont="1" applyBorder="1" applyAlignment="1">
      <alignment horizontal="center"/>
    </xf>
    <xf numFmtId="38" fontId="164" fillId="0" borderId="39" xfId="4300" applyNumberFormat="1" applyFont="1" applyBorder="1" applyAlignment="1">
      <alignment horizontal="center"/>
    </xf>
    <xf numFmtId="38" fontId="164" fillId="0" borderId="39" xfId="4300" applyNumberFormat="1" applyFont="1" applyFill="1" applyBorder="1" applyAlignment="1">
      <alignment horizontal="center"/>
    </xf>
    <xf numFmtId="38" fontId="164" fillId="0" borderId="40" xfId="4300" applyNumberFormat="1" applyFont="1" applyBorder="1" applyAlignment="1">
      <alignment horizontal="center"/>
    </xf>
    <xf numFmtId="38" fontId="164" fillId="0" borderId="0" xfId="4300" applyNumberFormat="1" applyFont="1" applyBorder="1" applyAlignment="1">
      <alignment horizontal="center" vertical="center" wrapText="1"/>
    </xf>
    <xf numFmtId="38" fontId="164" fillId="0" borderId="51" xfId="4300" applyNumberFormat="1" applyFont="1" applyBorder="1" applyAlignment="1">
      <alignment horizontal="center" vertical="center" wrapText="1"/>
    </xf>
    <xf numFmtId="38" fontId="164" fillId="0" borderId="41" xfId="4300" applyNumberFormat="1" applyFont="1" applyBorder="1" applyAlignment="1">
      <alignment horizontal="center" vertical="center" wrapText="1"/>
    </xf>
    <xf numFmtId="38" fontId="164" fillId="0" borderId="41" xfId="4300" applyNumberFormat="1" applyFont="1" applyFill="1" applyBorder="1" applyAlignment="1">
      <alignment horizontal="center" vertical="center" wrapText="1"/>
    </xf>
    <xf numFmtId="38" fontId="164" fillId="0" borderId="42" xfId="4300" applyNumberFormat="1" applyFont="1" applyBorder="1" applyAlignment="1">
      <alignment horizontal="center" vertical="center"/>
    </xf>
    <xf numFmtId="0" fontId="162" fillId="28" borderId="52" xfId="4300" applyFont="1" applyFill="1" applyBorder="1" applyAlignment="1">
      <alignment horizontal="center"/>
    </xf>
    <xf numFmtId="41" fontId="164" fillId="0" borderId="56" xfId="4300" applyNumberFormat="1" applyFont="1" applyFill="1" applyBorder="1"/>
    <xf numFmtId="41" fontId="164" fillId="0" borderId="57" xfId="4300" applyNumberFormat="1" applyFont="1" applyFill="1" applyBorder="1"/>
    <xf numFmtId="0" fontId="164" fillId="0" borderId="2" xfId="4300" applyFont="1" applyFill="1" applyBorder="1" applyAlignment="1">
      <alignment vertical="center" wrapText="1"/>
    </xf>
    <xf numFmtId="0" fontId="162" fillId="28" borderId="45" xfId="4300" applyFont="1" applyFill="1" applyBorder="1" applyAlignment="1">
      <alignment horizontal="center" wrapText="1"/>
    </xf>
    <xf numFmtId="0" fontId="164" fillId="0" borderId="29" xfId="4300" applyFont="1" applyBorder="1"/>
    <xf numFmtId="0" fontId="167" fillId="0" borderId="44" xfId="4300" applyFont="1" applyFill="1" applyBorder="1" applyAlignment="1">
      <alignment horizontal="right" wrapText="1"/>
    </xf>
    <xf numFmtId="0" fontId="167" fillId="0" borderId="0" xfId="4300" applyFont="1" applyFill="1" applyBorder="1" applyAlignment="1">
      <alignment horizontal="right" wrapText="1"/>
    </xf>
    <xf numFmtId="0" fontId="164" fillId="28" borderId="43" xfId="4300" applyFont="1" applyFill="1" applyBorder="1"/>
    <xf numFmtId="0" fontId="164" fillId="0" borderId="0" xfId="4300" applyFont="1" applyAlignment="1">
      <alignment horizontal="center"/>
    </xf>
    <xf numFmtId="0" fontId="164" fillId="0" borderId="0" xfId="4300" applyFont="1" applyFill="1" applyBorder="1"/>
    <xf numFmtId="38" fontId="162" fillId="0" borderId="0" xfId="4300" applyNumberFormat="1" applyFont="1" applyBorder="1"/>
    <xf numFmtId="0" fontId="165" fillId="0" borderId="0" xfId="0" applyFont="1" applyFill="1"/>
    <xf numFmtId="0" fontId="164" fillId="0" borderId="0" xfId="0" applyFont="1" applyBorder="1" applyAlignment="1">
      <alignment horizontal="center"/>
    </xf>
    <xf numFmtId="37" fontId="164" fillId="0" borderId="0" xfId="0" applyNumberFormat="1" applyFont="1" applyBorder="1" applyAlignment="1">
      <alignment horizontal="center"/>
    </xf>
    <xf numFmtId="0" fontId="162" fillId="3" borderId="11" xfId="0" applyFont="1" applyFill="1" applyBorder="1" applyAlignment="1">
      <alignment horizontal="center" vertical="center"/>
    </xf>
    <xf numFmtId="0" fontId="162" fillId="3" borderId="3" xfId="0" applyFont="1" applyFill="1" applyBorder="1" applyAlignment="1">
      <alignment horizontal="center" vertical="center"/>
    </xf>
    <xf numFmtId="3" fontId="162" fillId="3" borderId="34" xfId="0" applyNumberFormat="1" applyFont="1" applyFill="1" applyBorder="1" applyAlignment="1">
      <alignment horizontal="center" vertical="center"/>
    </xf>
    <xf numFmtId="3" fontId="167" fillId="3" borderId="9" xfId="0" applyNumberFormat="1" applyFont="1" applyFill="1" applyBorder="1" applyAlignment="1">
      <alignment horizontal="center" vertical="center" wrapText="1"/>
    </xf>
    <xf numFmtId="3" fontId="167" fillId="3" borderId="2" xfId="0" applyNumberFormat="1" applyFont="1" applyFill="1" applyBorder="1" applyAlignment="1">
      <alignment horizontal="center" vertical="center" wrapText="1"/>
    </xf>
    <xf numFmtId="3" fontId="162" fillId="3" borderId="4" xfId="0" applyNumberFormat="1" applyFont="1" applyFill="1" applyBorder="1" applyAlignment="1">
      <alignment horizontal="center" vertical="center" wrapText="1"/>
    </xf>
    <xf numFmtId="42" fontId="164" fillId="0" borderId="0" xfId="0" applyNumberFormat="1" applyFont="1" applyFill="1" applyBorder="1" applyAlignment="1">
      <alignment vertical="center"/>
    </xf>
    <xf numFmtId="42" fontId="162" fillId="0" borderId="2" xfId="0" applyNumberFormat="1" applyFont="1" applyFill="1" applyBorder="1" applyAlignment="1">
      <alignment vertical="center"/>
    </xf>
    <xf numFmtId="164" fontId="162" fillId="0" borderId="0" xfId="0" applyNumberFormat="1" applyFont="1" applyFill="1" applyAlignment="1">
      <alignment vertical="center"/>
    </xf>
    <xf numFmtId="164" fontId="165" fillId="0" borderId="0" xfId="10" applyNumberFormat="1" applyFont="1" applyFill="1" applyBorder="1" applyAlignment="1">
      <alignment vertical="center"/>
    </xf>
    <xf numFmtId="42" fontId="162" fillId="0" borderId="0" xfId="0" applyNumberFormat="1" applyFont="1" applyFill="1" applyBorder="1" applyAlignment="1">
      <alignment vertical="center"/>
    </xf>
    <xf numFmtId="164" fontId="167" fillId="0" borderId="38" xfId="10" applyNumberFormat="1" applyFont="1" applyFill="1" applyBorder="1" applyAlignment="1">
      <alignment vertical="center"/>
    </xf>
    <xf numFmtId="42" fontId="162" fillId="0" borderId="38" xfId="0" applyNumberFormat="1" applyFont="1" applyFill="1" applyBorder="1" applyAlignment="1">
      <alignment vertical="center"/>
    </xf>
    <xf numFmtId="41" fontId="162" fillId="28" borderId="55" xfId="4300" applyNumberFormat="1" applyFont="1" applyFill="1" applyBorder="1"/>
    <xf numFmtId="42" fontId="164" fillId="0" borderId="0" xfId="1" applyNumberFormat="1" applyFont="1" applyFill="1" applyBorder="1" applyAlignment="1">
      <alignment horizontal="center"/>
    </xf>
    <xf numFmtId="42" fontId="162" fillId="0" borderId="2" xfId="1" applyNumberFormat="1" applyFont="1" applyFill="1" applyBorder="1" applyAlignment="1">
      <alignment horizontal="center"/>
    </xf>
    <xf numFmtId="0" fontId="162" fillId="0" borderId="10" xfId="0" applyFont="1" applyFill="1" applyBorder="1" applyAlignment="1">
      <alignment horizontal="center" vertical="center"/>
    </xf>
    <xf numFmtId="3" fontId="162" fillId="0" borderId="10" xfId="0" applyNumberFormat="1" applyFont="1" applyFill="1" applyBorder="1" applyAlignment="1">
      <alignment horizontal="center" vertical="center"/>
    </xf>
    <xf numFmtId="3" fontId="167" fillId="0" borderId="10" xfId="0" applyNumberFormat="1" applyFont="1" applyFill="1" applyBorder="1" applyAlignment="1">
      <alignment horizontal="center" vertical="center" wrapText="1"/>
    </xf>
    <xf numFmtId="3" fontId="162" fillId="0" borderId="10" xfId="0" applyNumberFormat="1" applyFont="1" applyFill="1" applyBorder="1" applyAlignment="1">
      <alignment horizontal="center" vertical="center" wrapText="1"/>
    </xf>
    <xf numFmtId="41" fontId="163" fillId="0" borderId="0" xfId="4300" applyNumberFormat="1" applyFont="1" applyAlignment="1"/>
    <xf numFmtId="41" fontId="163" fillId="0" borderId="0" xfId="4300" applyNumberFormat="1" applyFont="1"/>
    <xf numFmtId="41" fontId="162" fillId="0" borderId="58" xfId="4300" quotePrefix="1" applyNumberFormat="1" applyFont="1" applyBorder="1" applyAlignment="1">
      <alignment horizontal="center"/>
    </xf>
    <xf numFmtId="41" fontId="163" fillId="0" borderId="0" xfId="50939" applyNumberFormat="1" applyFont="1" applyAlignment="1"/>
    <xf numFmtId="41" fontId="110" fillId="0" borderId="0" xfId="4300" applyNumberFormat="1"/>
    <xf numFmtId="0" fontId="163" fillId="0" borderId="0" xfId="4300" applyFont="1" applyAlignment="1"/>
    <xf numFmtId="43" fontId="163" fillId="0" borderId="0" xfId="1" applyFont="1" applyAlignment="1"/>
    <xf numFmtId="15" fontId="163" fillId="0" borderId="0" xfId="50939" applyNumberFormat="1" applyFont="1" applyAlignment="1"/>
    <xf numFmtId="41" fontId="163" fillId="0" borderId="0" xfId="16" applyNumberFormat="1" applyFont="1" applyAlignment="1"/>
    <xf numFmtId="0" fontId="163" fillId="0" borderId="0" xfId="50939" applyFont="1" applyAlignment="1"/>
    <xf numFmtId="41" fontId="163" fillId="0" borderId="0" xfId="16" applyNumberFormat="1" applyFont="1"/>
    <xf numFmtId="0" fontId="163" fillId="0" borderId="0" xfId="4300" applyFont="1"/>
    <xf numFmtId="43" fontId="163" fillId="0" borderId="0" xfId="1" applyFont="1"/>
    <xf numFmtId="169" fontId="163" fillId="0" borderId="0" xfId="4300" applyNumberFormat="1" applyFont="1"/>
    <xf numFmtId="8" fontId="163" fillId="0" borderId="0" xfId="4300" applyNumberFormat="1" applyFont="1"/>
    <xf numFmtId="0" fontId="163" fillId="0" borderId="0" xfId="4300" applyFont="1" applyFill="1"/>
    <xf numFmtId="43" fontId="163" fillId="0" borderId="0" xfId="1" applyFont="1" applyFill="1"/>
    <xf numFmtId="0" fontId="110" fillId="0" borderId="0" xfId="4300" applyAlignment="1"/>
    <xf numFmtId="0" fontId="110" fillId="0" borderId="0" xfId="4300"/>
    <xf numFmtId="169" fontId="110" fillId="0" borderId="0" xfId="4300" applyNumberFormat="1"/>
    <xf numFmtId="42" fontId="152" fillId="0" borderId="0" xfId="0" applyNumberFormat="1" applyFont="1" applyFill="1" applyAlignment="1">
      <alignment vertical="center"/>
    </xf>
    <xf numFmtId="17" fontId="162" fillId="0" borderId="0" xfId="0" applyNumberFormat="1" applyFont="1" applyBorder="1" applyAlignment="1">
      <alignment horizontal="center"/>
    </xf>
    <xf numFmtId="0" fontId="162" fillId="0" borderId="59" xfId="50939" quotePrefix="1" applyFont="1" applyBorder="1" applyAlignment="1">
      <alignment horizontal="left"/>
    </xf>
    <xf numFmtId="41" fontId="152" fillId="0" borderId="0" xfId="0" applyNumberFormat="1" applyFont="1"/>
    <xf numFmtId="0" fontId="152" fillId="0" borderId="0" xfId="0" applyFont="1" applyBorder="1"/>
    <xf numFmtId="41" fontId="162" fillId="0" borderId="59" xfId="50939" applyNumberFormat="1" applyFont="1" applyBorder="1" applyAlignment="1"/>
    <xf numFmtId="0" fontId="165" fillId="0" borderId="0" xfId="3" applyFont="1" applyFill="1"/>
    <xf numFmtId="41" fontId="162" fillId="28" borderId="60" xfId="4300" applyNumberFormat="1" applyFont="1" applyFill="1" applyBorder="1"/>
    <xf numFmtId="41" fontId="162" fillId="0" borderId="0" xfId="50939" applyNumberFormat="1" applyFont="1" applyAlignment="1">
      <alignment horizontal="center"/>
    </xf>
    <xf numFmtId="2" fontId="165" fillId="0" borderId="0" xfId="0" applyNumberFormat="1" applyFont="1" applyFill="1"/>
    <xf numFmtId="2" fontId="164" fillId="0" borderId="0" xfId="0" applyNumberFormat="1" applyFont="1" applyFill="1"/>
    <xf numFmtId="0" fontId="162" fillId="0" borderId="0" xfId="0" applyFont="1" applyAlignment="1">
      <alignment horizontal="left"/>
    </xf>
    <xf numFmtId="164" fontId="162" fillId="0" borderId="37" xfId="10" applyNumberFormat="1" applyFont="1" applyFill="1" applyBorder="1"/>
    <xf numFmtId="0" fontId="162" fillId="0" borderId="0" xfId="50939" quotePrefix="1" applyFont="1" applyBorder="1" applyAlignment="1">
      <alignment horizontal="left"/>
    </xf>
    <xf numFmtId="0" fontId="165" fillId="0" borderId="0" xfId="1" quotePrefix="1" applyNumberFormat="1" applyFont="1" applyFill="1" applyBorder="1" applyAlignment="1">
      <alignment horizontal="left" vertical="top"/>
    </xf>
    <xf numFmtId="0" fontId="164" fillId="0" borderId="0" xfId="3" applyNumberFormat="1" applyFont="1" applyFill="1" applyAlignment="1">
      <alignment horizontal="left"/>
    </xf>
    <xf numFmtId="3" fontId="162" fillId="5" borderId="0" xfId="0" applyNumberFormat="1" applyFont="1" applyFill="1" applyAlignment="1">
      <alignment horizontal="center" vertical="center" wrapText="1"/>
    </xf>
    <xf numFmtId="3" fontId="162" fillId="3" borderId="6" xfId="0" applyNumberFormat="1" applyFont="1" applyFill="1" applyBorder="1" applyAlignment="1"/>
    <xf numFmtId="3" fontId="162" fillId="3" borderId="23" xfId="11" applyNumberFormat="1" applyFont="1" applyFill="1" applyBorder="1" applyAlignment="1">
      <alignment horizontal="center" vertical="top"/>
    </xf>
    <xf numFmtId="0" fontId="162" fillId="28" borderId="61" xfId="4300" applyFont="1" applyFill="1" applyBorder="1" applyAlignment="1">
      <alignment horizontal="center"/>
    </xf>
    <xf numFmtId="0" fontId="162" fillId="28" borderId="62" xfId="4300" applyFont="1" applyFill="1" applyBorder="1" applyAlignment="1">
      <alignment horizontal="center" wrapText="1"/>
    </xf>
    <xf numFmtId="41" fontId="162" fillId="28" borderId="63" xfId="4300" applyNumberFormat="1" applyFont="1" applyFill="1" applyBorder="1"/>
    <xf numFmtId="0" fontId="164" fillId="0" borderId="0" xfId="50939" applyFont="1" applyFill="1" applyAlignment="1">
      <alignment horizontal="center"/>
    </xf>
    <xf numFmtId="41" fontId="162" fillId="0" borderId="58" xfId="50939" quotePrefix="1" applyNumberFormat="1" applyFont="1" applyBorder="1" applyAlignment="1">
      <alignment horizontal="center"/>
    </xf>
    <xf numFmtId="41" fontId="162" fillId="0" borderId="0" xfId="50939" applyNumberFormat="1" applyFont="1" applyAlignment="1"/>
    <xf numFmtId="41" fontId="162" fillId="0" borderId="0" xfId="50939" applyNumberFormat="1" applyFont="1" applyAlignment="1">
      <alignment horizontal="left"/>
    </xf>
    <xf numFmtId="0" fontId="164" fillId="0" borderId="0" xfId="50939" applyFont="1" applyAlignment="1">
      <alignment horizontal="center" vertical="center" wrapText="1"/>
    </xf>
    <xf numFmtId="172" fontId="164" fillId="0" borderId="37" xfId="10" applyNumberFormat="1" applyFont="1" applyFill="1" applyBorder="1"/>
    <xf numFmtId="3" fontId="162" fillId="0" borderId="0" xfId="0" applyNumberFormat="1" applyFont="1" applyFill="1"/>
    <xf numFmtId="165" fontId="164" fillId="0" borderId="0" xfId="16" applyNumberFormat="1" applyFont="1" applyFill="1"/>
    <xf numFmtId="165" fontId="162" fillId="0" borderId="0" xfId="16" applyNumberFormat="1" applyFont="1" applyFill="1"/>
    <xf numFmtId="165" fontId="164" fillId="0" borderId="0" xfId="1" applyNumberFormat="1" applyFont="1"/>
    <xf numFmtId="165" fontId="162" fillId="0" borderId="0" xfId="1" applyNumberFormat="1" applyFont="1"/>
    <xf numFmtId="0" fontId="162" fillId="0" borderId="66" xfId="4300" applyFont="1" applyBorder="1" applyAlignment="1">
      <alignment horizontal="center"/>
    </xf>
    <xf numFmtId="0" fontId="162" fillId="0" borderId="67" xfId="4300" applyFont="1" applyBorder="1" applyAlignment="1">
      <alignment horizontal="center"/>
    </xf>
    <xf numFmtId="0" fontId="162" fillId="0" borderId="27" xfId="4300" applyFont="1" applyBorder="1" applyAlignment="1">
      <alignment horizontal="center"/>
    </xf>
    <xf numFmtId="41" fontId="162" fillId="28" borderId="68" xfId="4300" applyNumberFormat="1" applyFont="1" applyFill="1" applyBorder="1"/>
    <xf numFmtId="172" fontId="164" fillId="0" borderId="0" xfId="0" applyNumberFormat="1" applyFont="1" applyFill="1"/>
    <xf numFmtId="44" fontId="164" fillId="0" borderId="0" xfId="0" applyNumberFormat="1" applyFont="1" applyFill="1"/>
    <xf numFmtId="0" fontId="162" fillId="0" borderId="0" xfId="4300" applyFont="1" applyBorder="1" applyAlignment="1">
      <alignment horizontal="center"/>
    </xf>
    <xf numFmtId="0" fontId="164" fillId="0" borderId="0" xfId="4300" applyFont="1" applyFill="1" applyBorder="1" applyAlignment="1">
      <alignment vertical="center" wrapText="1"/>
    </xf>
    <xf numFmtId="41" fontId="164" fillId="0" borderId="5" xfId="4300" applyNumberFormat="1" applyFont="1" applyFill="1" applyBorder="1"/>
    <xf numFmtId="41" fontId="164" fillId="0" borderId="69" xfId="4300" applyNumberFormat="1" applyFont="1" applyFill="1" applyBorder="1"/>
    <xf numFmtId="165" fontId="164" fillId="0" borderId="0" xfId="16" applyNumberFormat="1" applyFont="1" applyFill="1" applyAlignment="1"/>
    <xf numFmtId="165" fontId="164" fillId="0" borderId="0" xfId="1" applyNumberFormat="1" applyFont="1" applyFill="1" applyBorder="1" applyAlignment="1">
      <alignment horizontal="left" vertical="center"/>
    </xf>
    <xf numFmtId="165" fontId="0" fillId="0" borderId="0" xfId="0" applyNumberFormat="1" applyFont="1"/>
    <xf numFmtId="38" fontId="72" fillId="0" borderId="70" xfId="50983" applyNumberFormat="1" applyBorder="1"/>
    <xf numFmtId="0" fontId="151" fillId="0" borderId="0" xfId="0" applyFont="1" applyFill="1" applyAlignment="1">
      <alignment vertical="center"/>
    </xf>
    <xf numFmtId="42" fontId="152" fillId="0" borderId="0" xfId="0" applyNumberFormat="1" applyFont="1" applyFill="1"/>
    <xf numFmtId="43" fontId="152" fillId="0" borderId="0" xfId="1" applyFont="1" applyFill="1" applyBorder="1" applyAlignment="1">
      <alignment vertical="center"/>
    </xf>
    <xf numFmtId="173" fontId="164" fillId="0" borderId="0" xfId="0" applyNumberFormat="1" applyFont="1" applyFill="1"/>
    <xf numFmtId="165" fontId="162" fillId="0" borderId="38" xfId="1" applyNumberFormat="1" applyFont="1" applyFill="1" applyBorder="1" applyAlignment="1">
      <alignment horizontal="left" vertical="center"/>
    </xf>
    <xf numFmtId="0" fontId="113" fillId="0" borderId="73" xfId="4300" applyFont="1" applyBorder="1"/>
    <xf numFmtId="0" fontId="117" fillId="0" borderId="74" xfId="4300" applyFont="1" applyBorder="1"/>
    <xf numFmtId="0" fontId="117" fillId="0" borderId="77" xfId="4300" applyNumberFormat="1" applyFont="1" applyFill="1" applyBorder="1" applyAlignment="1">
      <alignment vertical="center"/>
    </xf>
    <xf numFmtId="0" fontId="117" fillId="0" borderId="76" xfId="4300" applyFont="1" applyBorder="1"/>
    <xf numFmtId="0" fontId="117" fillId="0" borderId="78" xfId="4300" applyNumberFormat="1" applyFont="1" applyFill="1" applyBorder="1" applyAlignment="1">
      <alignment vertical="center"/>
    </xf>
    <xf numFmtId="0" fontId="117" fillId="0" borderId="82" xfId="4300" applyFont="1" applyFill="1" applyBorder="1" applyAlignment="1">
      <alignment vertical="center" wrapText="1"/>
    </xf>
    <xf numFmtId="0" fontId="186" fillId="33" borderId="84" xfId="4300" applyFont="1" applyFill="1" applyBorder="1"/>
    <xf numFmtId="0" fontId="187" fillId="33" borderId="85" xfId="4300" applyFont="1" applyFill="1" applyBorder="1"/>
    <xf numFmtId="0" fontId="164" fillId="0" borderId="0" xfId="50939" applyFont="1" applyFill="1" applyAlignment="1">
      <alignment vertical="top"/>
    </xf>
    <xf numFmtId="165" fontId="163" fillId="0" borderId="0" xfId="4300" applyNumberFormat="1" applyFont="1" applyFill="1"/>
    <xf numFmtId="166" fontId="192" fillId="0" borderId="0" xfId="14" applyNumberFormat="1" applyFont="1" applyFill="1" applyBorder="1"/>
    <xf numFmtId="166" fontId="162" fillId="0" borderId="0" xfId="14" applyNumberFormat="1" applyFont="1" applyBorder="1"/>
    <xf numFmtId="174" fontId="164" fillId="0" borderId="0" xfId="50939" applyNumberFormat="1" applyFont="1" applyAlignment="1"/>
    <xf numFmtId="0" fontId="113" fillId="34" borderId="79" xfId="4300" applyFont="1" applyFill="1" applyBorder="1" applyAlignment="1">
      <alignment vertical="center"/>
    </xf>
    <xf numFmtId="0" fontId="113" fillId="34" borderId="81" xfId="4300" applyFont="1" applyFill="1" applyBorder="1" applyAlignment="1">
      <alignment vertical="center"/>
    </xf>
    <xf numFmtId="0" fontId="185" fillId="34" borderId="83" xfId="25" applyFont="1" applyFill="1" applyBorder="1"/>
    <xf numFmtId="0" fontId="121" fillId="34" borderId="83" xfId="51023" applyFill="1" applyBorder="1"/>
    <xf numFmtId="0" fontId="113" fillId="34" borderId="80" xfId="4300" applyFont="1" applyFill="1" applyBorder="1" applyAlignment="1">
      <alignment vertical="center" wrapText="1"/>
    </xf>
    <xf numFmtId="0" fontId="165" fillId="0" borderId="0" xfId="10" applyFont="1" applyFill="1" applyBorder="1" applyAlignment="1">
      <alignment horizontal="center"/>
    </xf>
    <xf numFmtId="3" fontId="162" fillId="5" borderId="23" xfId="0" applyNumberFormat="1" applyFont="1" applyFill="1" applyBorder="1" applyAlignment="1">
      <alignment horizontal="center" vertical="center" wrapText="1"/>
    </xf>
    <xf numFmtId="0" fontId="162" fillId="0" borderId="0" xfId="4300" applyFont="1" applyFill="1" applyAlignment="1">
      <alignment horizontal="center" vertical="center"/>
    </xf>
    <xf numFmtId="0" fontId="162" fillId="0" borderId="0" xfId="4300" applyFont="1" applyFill="1" applyAlignment="1">
      <alignment horizontal="center"/>
    </xf>
    <xf numFmtId="0" fontId="162" fillId="0" borderId="0" xfId="4300" applyFont="1" applyFill="1" applyAlignment="1">
      <alignment horizontal="justify" vertical="center"/>
    </xf>
    <xf numFmtId="15" fontId="162" fillId="0" borderId="0" xfId="4300" applyNumberFormat="1" applyFont="1" applyFill="1" applyAlignment="1">
      <alignment horizontal="center" vertical="center"/>
    </xf>
    <xf numFmtId="0" fontId="110" fillId="0" borderId="0" xfId="4300" applyFill="1" applyAlignment="1">
      <alignment horizontal="center"/>
    </xf>
    <xf numFmtId="0" fontId="110" fillId="0" borderId="0" xfId="4300" applyFill="1"/>
    <xf numFmtId="0" fontId="164" fillId="0" borderId="0" xfId="4300" applyFont="1" applyFill="1" applyAlignment="1">
      <alignment horizontal="justify" vertical="center"/>
    </xf>
    <xf numFmtId="0" fontId="164" fillId="0" borderId="0" xfId="4300" applyFont="1" applyFill="1" applyAlignment="1">
      <alignment horizontal="center" vertical="center"/>
    </xf>
    <xf numFmtId="170" fontId="164" fillId="0" borderId="0" xfId="4300" applyNumberFormat="1" applyFont="1" applyFill="1" applyAlignment="1">
      <alignment horizontal="justify" vertical="center"/>
    </xf>
    <xf numFmtId="0" fontId="164" fillId="0" borderId="0" xfId="4300" applyFont="1" applyFill="1" applyBorder="1" applyAlignment="1">
      <alignment vertical="top"/>
    </xf>
    <xf numFmtId="0" fontId="164" fillId="0" borderId="0" xfId="4300" applyFont="1" applyFill="1" applyBorder="1" applyAlignment="1">
      <alignment horizontal="center"/>
    </xf>
    <xf numFmtId="38" fontId="0" fillId="0" borderId="0" xfId="0" applyNumberFormat="1" applyFont="1"/>
    <xf numFmtId="0" fontId="165" fillId="0" borderId="0" xfId="3" quotePrefix="1" applyFont="1" applyFill="1" applyAlignment="1">
      <alignment vertical="center"/>
    </xf>
    <xf numFmtId="42" fontId="164" fillId="0" borderId="0" xfId="0" applyNumberFormat="1" applyFont="1" applyFill="1" applyAlignment="1">
      <alignment vertical="top" wrapText="1"/>
    </xf>
    <xf numFmtId="166" fontId="192" fillId="0" borderId="0" xfId="14" applyNumberFormat="1" applyFont="1" applyBorder="1"/>
    <xf numFmtId="41" fontId="164" fillId="0" borderId="0" xfId="50939" applyNumberFormat="1" applyFont="1" applyFill="1" applyAlignment="1"/>
    <xf numFmtId="38" fontId="164" fillId="0" borderId="0" xfId="50939" applyNumberFormat="1" applyFont="1" applyFill="1" applyAlignment="1"/>
    <xf numFmtId="165" fontId="0" fillId="0" borderId="0" xfId="0" applyNumberFormat="1" applyFont="1" applyFill="1"/>
    <xf numFmtId="165" fontId="162" fillId="0" borderId="37" xfId="1" applyNumberFormat="1" applyFont="1" applyFill="1" applyBorder="1"/>
    <xf numFmtId="167" fontId="164" fillId="0" borderId="0" xfId="13" applyNumberFormat="1" applyFont="1" applyFill="1"/>
    <xf numFmtId="167" fontId="162" fillId="0" borderId="2" xfId="16" applyNumberFormat="1" applyFont="1" applyFill="1" applyBorder="1"/>
    <xf numFmtId="167" fontId="164" fillId="0" borderId="71" xfId="50934" applyNumberFormat="1" applyFont="1" applyFill="1" applyBorder="1"/>
    <xf numFmtId="37" fontId="165" fillId="0" borderId="72" xfId="10" applyNumberFormat="1" applyFont="1" applyFill="1" applyBorder="1" applyAlignment="1">
      <alignment horizontal="left" vertical="center"/>
    </xf>
    <xf numFmtId="0" fontId="165" fillId="0" borderId="71" xfId="16" applyNumberFormat="1" applyFont="1" applyFill="1" applyBorder="1" applyAlignment="1">
      <alignment horizontal="center"/>
    </xf>
    <xf numFmtId="167" fontId="162" fillId="0" borderId="2" xfId="16" applyNumberFormat="1" applyFont="1" applyFill="1" applyBorder="1" applyAlignment="1"/>
    <xf numFmtId="167" fontId="165" fillId="0" borderId="2" xfId="16" applyNumberFormat="1" applyFont="1" applyFill="1" applyBorder="1" applyAlignment="1"/>
    <xf numFmtId="167" fontId="165" fillId="0" borderId="71" xfId="50934" applyNumberFormat="1" applyFont="1" applyFill="1" applyBorder="1"/>
    <xf numFmtId="167" fontId="165" fillId="0" borderId="2" xfId="16" applyNumberFormat="1" applyFont="1" applyFill="1" applyBorder="1"/>
    <xf numFmtId="167" fontId="165" fillId="0" borderId="71" xfId="50934" applyNumberFormat="1" applyFont="1" applyFill="1" applyBorder="1" applyAlignment="1">
      <alignment horizontal="center"/>
    </xf>
    <xf numFmtId="167" fontId="164" fillId="0" borderId="6" xfId="50934" applyNumberFormat="1" applyFont="1" applyFill="1" applyBorder="1"/>
    <xf numFmtId="167" fontId="165" fillId="0" borderId="6" xfId="50934" applyNumberFormat="1" applyFont="1" applyFill="1" applyBorder="1" applyAlignment="1">
      <alignment horizontal="center"/>
    </xf>
    <xf numFmtId="5" fontId="165" fillId="0" borderId="72" xfId="10" applyNumberFormat="1" applyFont="1" applyFill="1" applyBorder="1" applyAlignment="1">
      <alignment horizontal="left" vertical="center"/>
    </xf>
    <xf numFmtId="167" fontId="162" fillId="5" borderId="2" xfId="16" applyNumberFormat="1" applyFont="1" applyFill="1" applyBorder="1" applyAlignment="1">
      <alignment horizontal="center" vertical="center" wrapText="1"/>
    </xf>
    <xf numFmtId="167" fontId="162" fillId="3" borderId="2" xfId="16" applyNumberFormat="1" applyFont="1" applyFill="1" applyBorder="1" applyAlignment="1">
      <alignment horizontal="center" vertical="center" wrapText="1"/>
    </xf>
    <xf numFmtId="167" fontId="162" fillId="3" borderId="2" xfId="50934" applyNumberFormat="1" applyFont="1" applyFill="1" applyBorder="1" applyAlignment="1">
      <alignment horizontal="center" vertical="center"/>
    </xf>
    <xf numFmtId="167" fontId="162" fillId="3" borderId="2" xfId="50934" applyNumberFormat="1" applyFont="1" applyFill="1" applyBorder="1" applyAlignment="1">
      <alignment horizontal="center" vertical="center" wrapText="1"/>
    </xf>
    <xf numFmtId="0" fontId="201" fillId="0" borderId="0" xfId="50935" applyFont="1"/>
    <xf numFmtId="0" fontId="162" fillId="0" borderId="0" xfId="0" applyFont="1" applyFill="1" applyAlignment="1">
      <alignment horizontal="left" vertical="top"/>
    </xf>
    <xf numFmtId="165" fontId="162" fillId="0" borderId="38" xfId="1" applyNumberFormat="1" applyFont="1" applyFill="1" applyBorder="1"/>
    <xf numFmtId="165" fontId="162" fillId="0" borderId="0" xfId="1" applyNumberFormat="1" applyFont="1" applyFill="1" applyBorder="1"/>
    <xf numFmtId="165" fontId="201" fillId="0" borderId="0" xfId="1" applyNumberFormat="1" applyFont="1" applyFill="1" applyBorder="1"/>
    <xf numFmtId="165" fontId="165" fillId="0" borderId="0" xfId="1" applyNumberFormat="1" applyFont="1" applyFill="1" applyBorder="1"/>
    <xf numFmtId="41" fontId="164" fillId="0" borderId="87" xfId="4300" applyNumberFormat="1" applyFont="1" applyFill="1" applyBorder="1"/>
    <xf numFmtId="41" fontId="164" fillId="0" borderId="72" xfId="4300" applyNumberFormat="1" applyFont="1" applyFill="1" applyBorder="1"/>
    <xf numFmtId="167" fontId="165" fillId="0" borderId="2" xfId="16" applyNumberFormat="1" applyFont="1" applyFill="1" applyBorder="1" applyAlignment="1">
      <alignment horizontal="center"/>
    </xf>
    <xf numFmtId="0" fontId="162" fillId="28" borderId="43" xfId="4300" applyFont="1" applyFill="1" applyBorder="1" applyAlignment="1">
      <alignment horizontal="center"/>
    </xf>
    <xf numFmtId="41" fontId="164" fillId="28" borderId="53" xfId="4300" applyNumberFormat="1" applyFont="1" applyFill="1" applyBorder="1"/>
    <xf numFmtId="41" fontId="164" fillId="28" borderId="54" xfId="4300" applyNumberFormat="1" applyFont="1" applyFill="1" applyBorder="1"/>
    <xf numFmtId="165" fontId="166" fillId="0" borderId="71" xfId="13" applyNumberFormat="1" applyFont="1" applyFill="1" applyBorder="1"/>
    <xf numFmtId="165" fontId="166" fillId="0" borderId="71" xfId="13" applyNumberFormat="1" applyFont="1" applyBorder="1"/>
    <xf numFmtId="165" fontId="166" fillId="0" borderId="71" xfId="13" applyNumberFormat="1" applyFont="1" applyFill="1" applyBorder="1" applyAlignment="1">
      <alignment horizontal="center"/>
    </xf>
    <xf numFmtId="165" fontId="166" fillId="0" borderId="71" xfId="13" applyNumberFormat="1" applyFont="1" applyFill="1" applyBorder="1" applyAlignment="1">
      <alignment horizontal="right"/>
    </xf>
    <xf numFmtId="165" fontId="166" fillId="0" borderId="23" xfId="13" applyNumberFormat="1" applyFont="1" applyFill="1" applyBorder="1"/>
    <xf numFmtId="165" fontId="166" fillId="0" borderId="23" xfId="13" applyNumberFormat="1" applyFont="1" applyFill="1" applyBorder="1" applyAlignment="1">
      <alignment horizontal="right"/>
    </xf>
    <xf numFmtId="167" fontId="166" fillId="0" borderId="71" xfId="13" applyNumberFormat="1" applyFont="1" applyFill="1" applyBorder="1" applyAlignment="1">
      <alignment horizontal="right"/>
    </xf>
    <xf numFmtId="167" fontId="166" fillId="0" borderId="71" xfId="13" applyNumberFormat="1" applyFont="1" applyFill="1" applyBorder="1"/>
    <xf numFmtId="171" fontId="166" fillId="0" borderId="71" xfId="13" applyNumberFormat="1" applyFont="1" applyFill="1" applyBorder="1"/>
    <xf numFmtId="0" fontId="162" fillId="0" borderId="0" xfId="0" applyFont="1" applyFill="1" applyAlignment="1">
      <alignment horizontal="center" vertical="center"/>
    </xf>
    <xf numFmtId="3" fontId="162" fillId="3" borderId="88" xfId="0" applyNumberFormat="1" applyFont="1" applyFill="1" applyBorder="1" applyAlignment="1">
      <alignment horizontal="center" vertical="center" wrapText="1"/>
    </xf>
    <xf numFmtId="0" fontId="167" fillId="0" borderId="0" xfId="10" applyFont="1" applyFill="1" applyBorder="1" applyAlignment="1">
      <alignment horizontal="right" vertical="center"/>
    </xf>
    <xf numFmtId="42" fontId="162" fillId="0" borderId="38" xfId="1" applyNumberFormat="1" applyFont="1" applyFill="1" applyBorder="1" applyAlignment="1">
      <alignment horizontal="center" vertical="center"/>
    </xf>
    <xf numFmtId="42" fontId="164" fillId="0" borderId="0" xfId="1" quotePrefix="1" applyNumberFormat="1" applyFont="1" applyBorder="1" applyAlignment="1">
      <alignment horizontal="center" vertical="center"/>
    </xf>
    <xf numFmtId="42" fontId="164" fillId="0" borderId="0" xfId="1" quotePrefix="1" applyNumberFormat="1" applyFont="1" applyFill="1" applyBorder="1" applyAlignment="1">
      <alignment horizontal="center" vertical="center"/>
    </xf>
    <xf numFmtId="0" fontId="113" fillId="0" borderId="0" xfId="0" quotePrefix="1" applyFont="1" applyFill="1" applyBorder="1" applyAlignment="1">
      <alignment vertical="center"/>
    </xf>
    <xf numFmtId="167" fontId="162" fillId="0" borderId="88" xfId="16" applyNumberFormat="1" applyFont="1" applyFill="1" applyBorder="1" applyAlignment="1">
      <alignment horizontal="center"/>
    </xf>
    <xf numFmtId="167" fontId="202" fillId="0" borderId="88" xfId="14204" applyNumberFormat="1" applyFont="1" applyFill="1" applyBorder="1" applyAlignment="1">
      <alignment horizontal="center"/>
    </xf>
    <xf numFmtId="175" fontId="166" fillId="0" borderId="0" xfId="51115" applyNumberFormat="1" applyFont="1" applyFill="1" applyBorder="1" applyAlignment="1">
      <alignment horizontal="right"/>
    </xf>
    <xf numFmtId="167" fontId="164" fillId="0" borderId="0" xfId="13" applyNumberFormat="1" applyFont="1" applyFill="1" applyAlignment="1"/>
    <xf numFmtId="0" fontId="162" fillId="0" borderId="0" xfId="20327" applyFont="1" applyAlignment="1">
      <alignment horizontal="center"/>
    </xf>
    <xf numFmtId="0" fontId="164" fillId="0" borderId="0" xfId="20327" applyFont="1"/>
    <xf numFmtId="0" fontId="170" fillId="0" borderId="0" xfId="20327" applyFont="1" applyAlignment="1">
      <alignment horizontal="center"/>
    </xf>
    <xf numFmtId="0" fontId="190" fillId="0" borderId="0" xfId="20327" applyFont="1" applyAlignment="1">
      <alignment horizontal="center"/>
    </xf>
    <xf numFmtId="0" fontId="174" fillId="0" borderId="0" xfId="20327" applyFont="1" applyAlignment="1">
      <alignment horizontal="center"/>
    </xf>
    <xf numFmtId="0" fontId="191" fillId="3" borderId="2" xfId="20327" applyFont="1" applyFill="1" applyBorder="1" applyAlignment="1">
      <alignment horizontal="center" wrapText="1"/>
    </xf>
    <xf numFmtId="0" fontId="191" fillId="3" borderId="4" xfId="20327" applyFont="1" applyFill="1" applyBorder="1" applyAlignment="1">
      <alignment horizontal="center" wrapText="1"/>
    </xf>
    <xf numFmtId="0" fontId="164" fillId="0" borderId="0" xfId="20327" applyFont="1" applyAlignment="1">
      <alignment wrapText="1"/>
    </xf>
    <xf numFmtId="0" fontId="166" fillId="0" borderId="71" xfId="20327" applyFont="1" applyBorder="1"/>
    <xf numFmtId="0" fontId="166" fillId="0" borderId="72" xfId="20327" applyFont="1" applyBorder="1"/>
    <xf numFmtId="0" fontId="166" fillId="0" borderId="71" xfId="20327" applyFont="1" applyBorder="1" applyAlignment="1">
      <alignment shrinkToFit="1"/>
    </xf>
    <xf numFmtId="0" fontId="163" fillId="0" borderId="72" xfId="20327" applyFont="1" applyFill="1" applyBorder="1" applyAlignment="1"/>
    <xf numFmtId="0" fontId="166" fillId="0" borderId="72" xfId="20327" applyFont="1" applyFill="1" applyBorder="1" applyAlignment="1"/>
    <xf numFmtId="0" fontId="164" fillId="0" borderId="0" xfId="20327" applyFont="1" applyBorder="1"/>
    <xf numFmtId="3" fontId="164" fillId="0" borderId="0" xfId="20327" applyNumberFormat="1" applyFont="1" applyBorder="1"/>
    <xf numFmtId="0" fontId="162" fillId="0" borderId="0" xfId="20327" applyFont="1" applyBorder="1"/>
    <xf numFmtId="3" fontId="162" fillId="0" borderId="0" xfId="20327" applyNumberFormat="1" applyFont="1" applyBorder="1"/>
    <xf numFmtId="0" fontId="162" fillId="0" borderId="0" xfId="20327" applyFont="1"/>
    <xf numFmtId="0" fontId="166" fillId="0" borderId="71" xfId="20327" applyFont="1" applyFill="1" applyBorder="1" applyAlignment="1">
      <alignment shrinkToFit="1"/>
    </xf>
    <xf numFmtId="0" fontId="164" fillId="0" borderId="0" xfId="20327" applyFont="1" applyFill="1" applyBorder="1"/>
    <xf numFmtId="0" fontId="164" fillId="0" borderId="0" xfId="20327" applyFont="1" applyFill="1"/>
    <xf numFmtId="0" fontId="166" fillId="0" borderId="71" xfId="20327" applyFont="1" applyFill="1" applyBorder="1" applyAlignment="1"/>
    <xf numFmtId="0" fontId="166" fillId="0" borderId="11" xfId="20327" applyFont="1" applyFill="1" applyBorder="1" applyAlignment="1"/>
    <xf numFmtId="0" fontId="165" fillId="0" borderId="0" xfId="20327" applyFont="1" applyBorder="1"/>
    <xf numFmtId="0" fontId="176" fillId="0" borderId="0" xfId="20327" applyFont="1" applyBorder="1"/>
    <xf numFmtId="0" fontId="119" fillId="0" borderId="0" xfId="20327" applyBorder="1"/>
    <xf numFmtId="0" fontId="119" fillId="0" borderId="0" xfId="20327"/>
    <xf numFmtId="0" fontId="165" fillId="0" borderId="0" xfId="20327" applyFont="1" applyBorder="1" applyAlignment="1">
      <alignment horizontal="right"/>
    </xf>
    <xf numFmtId="0" fontId="176" fillId="0" borderId="0" xfId="20327" applyFont="1"/>
    <xf numFmtId="0" fontId="176" fillId="0" borderId="0" xfId="20327" applyFont="1" applyFill="1" applyBorder="1"/>
    <xf numFmtId="0" fontId="119" fillId="0" borderId="0" xfId="20327" applyFont="1"/>
    <xf numFmtId="0" fontId="164" fillId="0" borderId="0" xfId="20327" applyFont="1" applyBorder="1" applyAlignment="1">
      <alignment shrinkToFit="1"/>
    </xf>
    <xf numFmtId="0" fontId="119" fillId="0" borderId="0" xfId="20327" applyFill="1"/>
    <xf numFmtId="0" fontId="180" fillId="0" borderId="0" xfId="51127" applyFont="1"/>
    <xf numFmtId="0" fontId="2" fillId="0" borderId="0" xfId="51127"/>
    <xf numFmtId="1" fontId="2" fillId="0" borderId="0" xfId="51127" applyNumberFormat="1"/>
    <xf numFmtId="38" fontId="2" fillId="0" borderId="0" xfId="51127" applyNumberFormat="1" applyFill="1"/>
    <xf numFmtId="43" fontId="0" fillId="0" borderId="0" xfId="51128" applyFont="1"/>
    <xf numFmtId="1" fontId="180" fillId="0" borderId="0" xfId="51127" applyNumberFormat="1" applyFont="1"/>
    <xf numFmtId="0" fontId="179" fillId="30" borderId="64" xfId="51127" applyFont="1" applyFill="1" applyBorder="1" applyAlignment="1">
      <alignment horizontal="centerContinuous"/>
    </xf>
    <xf numFmtId="0" fontId="179" fillId="30" borderId="44" xfId="51127" applyFont="1" applyFill="1" applyBorder="1" applyAlignment="1">
      <alignment horizontal="centerContinuous"/>
    </xf>
    <xf numFmtId="0" fontId="179" fillId="30" borderId="65" xfId="51127" applyFont="1" applyFill="1" applyBorder="1" applyAlignment="1">
      <alignment horizontal="centerContinuous"/>
    </xf>
    <xf numFmtId="0" fontId="180" fillId="0" borderId="0" xfId="51127" applyFont="1" applyFill="1" applyBorder="1"/>
    <xf numFmtId="0" fontId="180" fillId="29" borderId="44" xfId="51127" applyFont="1" applyFill="1" applyBorder="1"/>
    <xf numFmtId="0" fontId="180" fillId="29" borderId="65" xfId="51127" applyFont="1" applyFill="1" applyBorder="1"/>
    <xf numFmtId="165" fontId="180" fillId="29" borderId="29" xfId="51128" applyNumberFormat="1" applyFont="1" applyFill="1" applyBorder="1"/>
    <xf numFmtId="165" fontId="180" fillId="29" borderId="0" xfId="51128" applyNumberFormat="1" applyFont="1" applyFill="1" applyBorder="1"/>
    <xf numFmtId="0" fontId="179" fillId="30" borderId="30" xfId="51127" applyFont="1" applyFill="1" applyBorder="1" applyAlignment="1">
      <alignment horizontal="center"/>
    </xf>
    <xf numFmtId="0" fontId="180" fillId="0" borderId="29" xfId="51127" applyFont="1" applyBorder="1"/>
    <xf numFmtId="0" fontId="180" fillId="0" borderId="0" xfId="51127" applyFont="1" applyBorder="1"/>
    <xf numFmtId="0" fontId="180" fillId="0" borderId="30" xfId="51127" applyFont="1" applyBorder="1"/>
    <xf numFmtId="3" fontId="182" fillId="0" borderId="29" xfId="51128" applyNumberFormat="1" applyFont="1" applyBorder="1"/>
    <xf numFmtId="3" fontId="182" fillId="0" borderId="0" xfId="51128" applyNumberFormat="1" applyFont="1" applyBorder="1"/>
    <xf numFmtId="3" fontId="180" fillId="31" borderId="30" xfId="51128" applyNumberFormat="1" applyFont="1" applyFill="1" applyBorder="1"/>
    <xf numFmtId="0" fontId="180" fillId="0" borderId="29" xfId="51127" applyFont="1" applyFill="1" applyBorder="1"/>
    <xf numFmtId="0" fontId="180" fillId="0" borderId="30" xfId="51127" applyFont="1" applyFill="1" applyBorder="1"/>
    <xf numFmtId="3" fontId="182" fillId="0" borderId="0" xfId="51128" applyNumberFormat="1" applyFont="1" applyFill="1" applyBorder="1"/>
    <xf numFmtId="0" fontId="2" fillId="0" borderId="0" xfId="51127" applyFill="1"/>
    <xf numFmtId="0" fontId="180" fillId="0" borderId="61" xfId="51127" applyFont="1" applyBorder="1"/>
    <xf numFmtId="0" fontId="180" fillId="32" borderId="59" xfId="51127" applyFont="1" applyFill="1" applyBorder="1"/>
    <xf numFmtId="0" fontId="180" fillId="32" borderId="62" xfId="51127" applyFont="1" applyFill="1" applyBorder="1"/>
    <xf numFmtId="3" fontId="181" fillId="32" borderId="61" xfId="51128" applyNumberFormat="1" applyFont="1" applyFill="1" applyBorder="1"/>
    <xf numFmtId="3" fontId="181" fillId="32" borderId="59" xfId="51128" applyNumberFormat="1" applyFont="1" applyFill="1" applyBorder="1"/>
    <xf numFmtId="165" fontId="181" fillId="0" borderId="0" xfId="51128" applyNumberFormat="1" applyFont="1" applyFill="1" applyBorder="1"/>
    <xf numFmtId="0" fontId="181" fillId="0" borderId="0" xfId="51127" applyFont="1" applyFill="1" applyBorder="1"/>
    <xf numFmtId="0" fontId="181" fillId="30" borderId="44" xfId="51127" applyFont="1" applyFill="1" applyBorder="1" applyAlignment="1">
      <alignment horizontal="centerContinuous"/>
    </xf>
    <xf numFmtId="0" fontId="181" fillId="30" borderId="65" xfId="51127" applyFont="1" applyFill="1" applyBorder="1" applyAlignment="1">
      <alignment horizontal="centerContinuous"/>
    </xf>
    <xf numFmtId="0" fontId="180" fillId="29" borderId="64" xfId="51127" applyFont="1" applyFill="1" applyBorder="1"/>
    <xf numFmtId="165" fontId="181" fillId="29" borderId="29" xfId="51128" applyNumberFormat="1" applyFont="1" applyFill="1" applyBorder="1"/>
    <xf numFmtId="165" fontId="181" fillId="29" borderId="0" xfId="51128" applyNumberFormat="1" applyFont="1" applyFill="1" applyBorder="1"/>
    <xf numFmtId="4" fontId="182" fillId="0" borderId="0" xfId="51128" applyNumberFormat="1" applyFont="1" applyBorder="1"/>
    <xf numFmtId="165" fontId="180" fillId="31" borderId="30" xfId="51128" applyNumberFormat="1" applyFont="1" applyFill="1" applyBorder="1"/>
    <xf numFmtId="0" fontId="180" fillId="31" borderId="29" xfId="51127" applyFont="1" applyFill="1" applyBorder="1"/>
    <xf numFmtId="0" fontId="180" fillId="31" borderId="0" xfId="51127" applyFont="1" applyFill="1" applyBorder="1"/>
    <xf numFmtId="0" fontId="180" fillId="31" borderId="30" xfId="51127" applyFont="1" applyFill="1" applyBorder="1"/>
    <xf numFmtId="165" fontId="181" fillId="31" borderId="29" xfId="51128" applyNumberFormat="1" applyFont="1" applyFill="1" applyBorder="1"/>
    <xf numFmtId="165" fontId="181" fillId="31" borderId="0" xfId="51128" applyNumberFormat="1" applyFont="1" applyFill="1" applyBorder="1"/>
    <xf numFmtId="165" fontId="181" fillId="31" borderId="30" xfId="51128" applyNumberFormat="1" applyFont="1" applyFill="1" applyBorder="1"/>
    <xf numFmtId="0" fontId="2" fillId="0" borderId="0" xfId="51127" applyFont="1"/>
    <xf numFmtId="0" fontId="180" fillId="0" borderId="0" xfId="51127" applyFont="1" applyFill="1" applyBorder="1" applyAlignment="1">
      <alignment horizontal="left"/>
    </xf>
    <xf numFmtId="165" fontId="180" fillId="0" borderId="29" xfId="51128" applyNumberFormat="1" applyFont="1" applyBorder="1"/>
    <xf numFmtId="165" fontId="180" fillId="0" borderId="0" xfId="51128" applyNumberFormat="1" applyFont="1" applyBorder="1"/>
    <xf numFmtId="0" fontId="180" fillId="32" borderId="61" xfId="51127" applyFont="1" applyFill="1" applyBorder="1"/>
    <xf numFmtId="165" fontId="180" fillId="32" borderId="0" xfId="51128" applyNumberFormat="1" applyFont="1" applyFill="1" applyBorder="1"/>
    <xf numFmtId="165" fontId="180" fillId="32" borderId="30" xfId="51128" applyNumberFormat="1" applyFont="1" applyFill="1" applyBorder="1"/>
    <xf numFmtId="0" fontId="2" fillId="0" borderId="64" xfId="51127" applyBorder="1"/>
    <xf numFmtId="0" fontId="2" fillId="0" borderId="44" xfId="51127" applyBorder="1"/>
    <xf numFmtId="0" fontId="180" fillId="31" borderId="65" xfId="51127" applyFont="1" applyFill="1" applyBorder="1"/>
    <xf numFmtId="165" fontId="180" fillId="0" borderId="0" xfId="51128" applyNumberFormat="1" applyFont="1"/>
    <xf numFmtId="166" fontId="180" fillId="0" borderId="29" xfId="51128" applyNumberFormat="1" applyFont="1" applyBorder="1"/>
    <xf numFmtId="166" fontId="180" fillId="0" borderId="0" xfId="51128" applyNumberFormat="1" applyFont="1" applyBorder="1"/>
    <xf numFmtId="166" fontId="180" fillId="31" borderId="30" xfId="51128" applyNumberFormat="1" applyFont="1" applyFill="1" applyBorder="1"/>
    <xf numFmtId="166" fontId="180" fillId="0" borderId="0" xfId="51128" applyNumberFormat="1" applyFont="1"/>
    <xf numFmtId="166" fontId="180" fillId="0" borderId="61" xfId="51128" applyNumberFormat="1" applyFont="1" applyBorder="1"/>
    <xf numFmtId="166" fontId="180" fillId="0" borderId="59" xfId="51128" applyNumberFormat="1" applyFont="1" applyBorder="1"/>
    <xf numFmtId="166" fontId="180" fillId="31" borderId="62" xfId="51128" applyNumberFormat="1" applyFont="1" applyFill="1" applyBorder="1"/>
    <xf numFmtId="165" fontId="180" fillId="0" borderId="0" xfId="51127" applyNumberFormat="1" applyFont="1"/>
    <xf numFmtId="165" fontId="180" fillId="31" borderId="0" xfId="51128" applyNumberFormat="1" applyFont="1" applyFill="1" applyBorder="1"/>
    <xf numFmtId="3" fontId="181" fillId="31" borderId="0" xfId="51128" applyNumberFormat="1" applyFont="1" applyFill="1" applyBorder="1"/>
    <xf numFmtId="3" fontId="180" fillId="0" borderId="0" xfId="51128" applyNumberFormat="1" applyFont="1" applyBorder="1"/>
    <xf numFmtId="3" fontId="180" fillId="32" borderId="0" xfId="51128" applyNumberFormat="1" applyFont="1" applyFill="1" applyBorder="1"/>
    <xf numFmtId="165" fontId="2" fillId="0" borderId="0" xfId="51127" applyNumberFormat="1"/>
    <xf numFmtId="165" fontId="180" fillId="32" borderId="86" xfId="51128" applyNumberFormat="1" applyFont="1" applyFill="1" applyBorder="1"/>
    <xf numFmtId="165" fontId="180" fillId="32" borderId="59" xfId="51128" applyNumberFormat="1" applyFont="1" applyFill="1" applyBorder="1"/>
    <xf numFmtId="0" fontId="180" fillId="0" borderId="0" xfId="51127" quotePrefix="1" applyFont="1" applyFill="1" applyBorder="1"/>
    <xf numFmtId="0" fontId="2" fillId="0" borderId="88" xfId="51127" applyBorder="1"/>
    <xf numFmtId="0" fontId="200" fillId="0" borderId="0" xfId="51129" applyFont="1"/>
    <xf numFmtId="0" fontId="162" fillId="0" borderId="88" xfId="51129" applyFont="1" applyFill="1" applyBorder="1" applyAlignment="1">
      <alignment horizontal="center"/>
    </xf>
    <xf numFmtId="0" fontId="162" fillId="0" borderId="88" xfId="51129" applyFont="1" applyBorder="1" applyAlignment="1">
      <alignment horizontal="center"/>
    </xf>
    <xf numFmtId="0" fontId="162" fillId="3" borderId="2" xfId="51129" applyFont="1" applyFill="1" applyBorder="1"/>
    <xf numFmtId="0" fontId="162" fillId="3" borderId="2" xfId="51129" applyFont="1" applyFill="1" applyBorder="1" applyAlignment="1">
      <alignment horizontal="center"/>
    </xf>
    <xf numFmtId="0" fontId="164" fillId="0" borderId="72" xfId="51129" applyFont="1" applyFill="1" applyBorder="1"/>
    <xf numFmtId="164" fontId="162" fillId="0" borderId="4" xfId="51129" applyNumberFormat="1" applyFont="1" applyFill="1" applyBorder="1" applyAlignment="1">
      <alignment horizontal="left" indent="3"/>
    </xf>
    <xf numFmtId="0" fontId="162" fillId="0" borderId="4" xfId="51129" applyFont="1" applyFill="1" applyBorder="1"/>
    <xf numFmtId="0" fontId="164" fillId="0" borderId="8" xfId="51129" applyFont="1" applyFill="1" applyBorder="1"/>
    <xf numFmtId="164" fontId="162" fillId="0" borderId="12" xfId="51129" applyNumberFormat="1" applyFont="1" applyFill="1" applyBorder="1"/>
    <xf numFmtId="164" fontId="162" fillId="0" borderId="4" xfId="51129" applyNumberFormat="1" applyFont="1" applyFill="1" applyBorder="1"/>
    <xf numFmtId="43" fontId="200" fillId="0" borderId="0" xfId="51129" applyNumberFormat="1" applyFont="1"/>
    <xf numFmtId="0" fontId="164" fillId="0" borderId="0" xfId="51129" applyFont="1" applyFill="1"/>
    <xf numFmtId="43" fontId="164" fillId="0" borderId="0" xfId="51129" applyNumberFormat="1" applyFont="1" applyFill="1"/>
    <xf numFmtId="0" fontId="167" fillId="0" borderId="0" xfId="51129" applyFont="1" applyAlignment="1">
      <alignment horizontal="center" vertical="center"/>
    </xf>
    <xf numFmtId="0" fontId="1" fillId="0" borderId="0" xfId="51129"/>
    <xf numFmtId="167" fontId="200" fillId="0" borderId="0" xfId="51129" applyNumberFormat="1" applyFont="1"/>
    <xf numFmtId="0" fontId="117" fillId="0" borderId="75" xfId="4300" applyFont="1" applyBorder="1" applyAlignment="1">
      <alignment horizontal="left" vertical="top" wrapText="1"/>
    </xf>
    <xf numFmtId="0" fontId="117" fillId="0" borderId="76" xfId="4300" applyFont="1" applyBorder="1" applyAlignment="1">
      <alignment horizontal="left" vertical="top" wrapText="1"/>
    </xf>
    <xf numFmtId="0" fontId="167" fillId="0" borderId="0" xfId="0" applyFont="1" applyFill="1" applyAlignment="1">
      <alignment horizontal="center" vertical="center"/>
    </xf>
    <xf numFmtId="0" fontId="162" fillId="0" borderId="0" xfId="0" applyFont="1" applyFill="1" applyAlignment="1">
      <alignment horizontal="center" vertical="center"/>
    </xf>
    <xf numFmtId="0" fontId="162" fillId="0" borderId="0" xfId="0" applyFont="1" applyFill="1" applyBorder="1" applyAlignment="1">
      <alignment horizontal="center" vertical="center"/>
    </xf>
    <xf numFmtId="0" fontId="162" fillId="0" borderId="47" xfId="4300" applyFont="1" applyFill="1" applyBorder="1" applyAlignment="1">
      <alignment horizontal="center"/>
    </xf>
    <xf numFmtId="0" fontId="162" fillId="0" borderId="48" xfId="4300" applyFont="1" applyFill="1" applyBorder="1" applyAlignment="1">
      <alignment horizontal="center"/>
    </xf>
    <xf numFmtId="0" fontId="162" fillId="0" borderId="49" xfId="4300" applyFont="1" applyFill="1" applyBorder="1" applyAlignment="1">
      <alignment horizontal="center" vertical="center"/>
    </xf>
    <xf numFmtId="0" fontId="162" fillId="0" borderId="50" xfId="4300" applyFont="1" applyFill="1" applyBorder="1" applyAlignment="1">
      <alignment horizontal="center" vertical="center"/>
    </xf>
    <xf numFmtId="0" fontId="164" fillId="0" borderId="0" xfId="51129" applyFont="1" applyAlignment="1">
      <alignment vertical="top" wrapText="1"/>
    </xf>
    <xf numFmtId="0" fontId="162" fillId="0" borderId="0" xfId="51129" applyFont="1" applyFill="1" applyAlignment="1">
      <alignment horizontal="center"/>
    </xf>
    <xf numFmtId="0" fontId="162" fillId="0" borderId="0" xfId="51129" applyFont="1" applyFill="1" applyBorder="1" applyAlignment="1">
      <alignment horizontal="center"/>
    </xf>
    <xf numFmtId="0" fontId="162" fillId="0" borderId="4" xfId="51129" applyFont="1" applyBorder="1" applyAlignment="1">
      <alignment horizontal="center"/>
    </xf>
    <xf numFmtId="0" fontId="162" fillId="0" borderId="9" xfId="51129" applyFont="1" applyBorder="1" applyAlignment="1">
      <alignment horizontal="center"/>
    </xf>
    <xf numFmtId="0" fontId="162" fillId="0" borderId="4" xfId="10" applyFont="1" applyFill="1" applyBorder="1" applyAlignment="1">
      <alignment horizontal="right" vertical="center"/>
    </xf>
    <xf numFmtId="0" fontId="162" fillId="0" borderId="9" xfId="10" applyFont="1" applyFill="1" applyBorder="1" applyAlignment="1">
      <alignment horizontal="right" vertical="center"/>
    </xf>
    <xf numFmtId="0" fontId="164" fillId="5" borderId="8" xfId="0" applyFont="1" applyFill="1" applyBorder="1" applyAlignment="1">
      <alignment horizontal="center"/>
    </xf>
    <xf numFmtId="0" fontId="164" fillId="5" borderId="10" xfId="0" applyFont="1" applyFill="1" applyBorder="1" applyAlignment="1">
      <alignment horizontal="center"/>
    </xf>
    <xf numFmtId="0" fontId="162" fillId="5" borderId="4" xfId="0" applyFont="1" applyFill="1" applyBorder="1" applyAlignment="1">
      <alignment horizontal="center"/>
    </xf>
    <xf numFmtId="0" fontId="162" fillId="5" borderId="12" xfId="0" applyFont="1" applyFill="1" applyBorder="1" applyAlignment="1">
      <alignment horizontal="center"/>
    </xf>
    <xf numFmtId="0" fontId="167" fillId="0" borderId="4" xfId="10" applyFont="1" applyFill="1" applyBorder="1" applyAlignment="1">
      <alignment horizontal="right" vertical="center"/>
    </xf>
    <xf numFmtId="0" fontId="167" fillId="0" borderId="9" xfId="10" applyFont="1" applyFill="1" applyBorder="1" applyAlignment="1">
      <alignment horizontal="right" vertical="center"/>
    </xf>
    <xf numFmtId="0" fontId="167" fillId="0" borderId="0" xfId="50939" applyFont="1" applyAlignment="1">
      <alignment horizontal="center"/>
    </xf>
    <xf numFmtId="0" fontId="176" fillId="0" borderId="0" xfId="4300" applyFont="1" applyAlignment="1">
      <alignment horizontal="center"/>
    </xf>
    <xf numFmtId="0" fontId="162" fillId="0" borderId="0" xfId="50939" applyFont="1" applyAlignment="1">
      <alignment horizontal="center"/>
    </xf>
    <xf numFmtId="0" fontId="163" fillId="0" borderId="0" xfId="4300" applyFont="1" applyAlignment="1">
      <alignment horizontal="center"/>
    </xf>
    <xf numFmtId="170" fontId="162" fillId="0" borderId="0" xfId="50939" quotePrefix="1" applyNumberFormat="1" applyFont="1" applyAlignment="1">
      <alignment horizontal="center"/>
    </xf>
    <xf numFmtId="170" fontId="163" fillId="0" borderId="0" xfId="4300" applyNumberFormat="1" applyFont="1" applyAlignment="1">
      <alignment horizontal="center"/>
    </xf>
    <xf numFmtId="0" fontId="167" fillId="0" borderId="0" xfId="3" applyFont="1" applyFill="1" applyBorder="1" applyAlignment="1">
      <alignment horizontal="left"/>
    </xf>
    <xf numFmtId="0" fontId="165" fillId="0" borderId="0" xfId="0" applyFont="1" applyBorder="1"/>
    <xf numFmtId="0" fontId="162" fillId="0" borderId="0" xfId="20327" applyFont="1" applyAlignment="1">
      <alignment horizontal="center"/>
    </xf>
    <xf numFmtId="49" fontId="162" fillId="0" borderId="0" xfId="20327" applyNumberFormat="1" applyFont="1" applyAlignment="1">
      <alignment horizontal="center"/>
    </xf>
    <xf numFmtId="0" fontId="175" fillId="0" borderId="0" xfId="20327" applyFont="1" applyAlignment="1">
      <alignment horizontal="center"/>
    </xf>
    <xf numFmtId="0" fontId="168" fillId="0" borderId="0" xfId="20327" applyFont="1" applyBorder="1" applyAlignment="1">
      <alignment shrinkToFit="1"/>
    </xf>
    <xf numFmtId="0" fontId="113" fillId="0" borderId="0" xfId="0" applyFont="1" applyFill="1" applyBorder="1" applyAlignment="1">
      <alignment horizontal="center"/>
    </xf>
    <xf numFmtId="0" fontId="149" fillId="0" borderId="0" xfId="3" applyFont="1" applyFill="1" applyAlignment="1">
      <alignment horizontal="center"/>
    </xf>
    <xf numFmtId="0" fontId="113" fillId="0" borderId="0" xfId="3" applyFont="1" applyFill="1" applyAlignment="1">
      <alignment horizontal="center"/>
    </xf>
    <xf numFmtId="0" fontId="162" fillId="0" borderId="0" xfId="4300" applyFont="1" applyFill="1" applyAlignment="1">
      <alignment horizontal="center"/>
    </xf>
    <xf numFmtId="49" fontId="162" fillId="0" borderId="0" xfId="4300" applyNumberFormat="1" applyFont="1" applyFill="1" applyAlignment="1">
      <alignment horizontal="center"/>
    </xf>
    <xf numFmtId="0" fontId="164" fillId="0" borderId="2" xfId="0" applyFont="1" applyFill="1" applyBorder="1" applyAlignment="1">
      <alignment vertical="center"/>
    </xf>
    <xf numFmtId="0" fontId="164" fillId="0" borderId="89" xfId="0" applyFont="1" applyFill="1" applyBorder="1" applyAlignment="1">
      <alignment vertical="center"/>
    </xf>
    <xf numFmtId="0" fontId="162" fillId="0" borderId="90" xfId="4300" applyFont="1" applyBorder="1" applyAlignment="1">
      <alignment horizontal="center"/>
    </xf>
  </cellXfs>
  <cellStyles count="51130">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 3" xfId="51115" xr:uid="{B35E2263-906E-4EDE-9805-848566495E35}"/>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67" xfId="51086" xr:uid="{D2045A7F-896D-4F15-A431-65A39E4B2903}"/>
    <cellStyle name="Comma 68" xfId="51088" xr:uid="{625D6CE8-5469-41DC-944D-82F3A73D1AE0}"/>
    <cellStyle name="Comma 69" xfId="51093" xr:uid="{88ACAD41-844C-470A-848F-81FA3ADF550E}"/>
    <cellStyle name="Comma 7" xfId="2799" xr:uid="{00000000-0005-0000-0000-00002F240000}"/>
    <cellStyle name="Comma 70" xfId="51096" xr:uid="{515916B0-02BB-4D5C-A6A3-398B23C72C47}"/>
    <cellStyle name="Comma 71" xfId="51098" xr:uid="{33C38CD2-7731-41BE-9E05-AEC30D9FB186}"/>
    <cellStyle name="Comma 72" xfId="51100" xr:uid="{2E786359-E01C-4937-8533-0261DD2A8B56}"/>
    <cellStyle name="Comma 73" xfId="51104" xr:uid="{DC5AA93B-5436-4E81-89ED-3D8C7EAA6C5C}"/>
    <cellStyle name="Comma 74" xfId="51106" xr:uid="{3A8589CA-AF48-4DFD-B1EE-3E0BC4DB5B0A}"/>
    <cellStyle name="Comma 75" xfId="51108" xr:uid="{38F9711C-CBFF-4340-81A7-C771FBF5B48C}"/>
    <cellStyle name="Comma 76" xfId="51112" xr:uid="{4F1F9D54-C94F-475F-B3F2-AD984726E1DB}"/>
    <cellStyle name="Comma 77" xfId="51119" xr:uid="{F037DE7B-7A17-4A51-8C2B-497823EFE811}"/>
    <cellStyle name="Comma 78" xfId="51121" xr:uid="{97337F34-2ECB-4BDC-9701-80F26BD3B30A}"/>
    <cellStyle name="Comma 79" xfId="51125" xr:uid="{003D342C-0A4E-43B0-A83F-6C4FF82A5033}"/>
    <cellStyle name="Comma 8" xfId="2800" xr:uid="{00000000-0005-0000-0000-000030240000}"/>
    <cellStyle name="Comma 80" xfId="51128" xr:uid="{DD5419CF-4E77-4CD9-808A-70A3ECF7F6E2}"/>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05" xfId="51083" xr:uid="{00000000-0005-0000-0000-0000B8C70000}"/>
    <cellStyle name="Normal 106" xfId="51085" xr:uid="{433DEC35-D4E5-4321-B8D4-4D89022E034B}"/>
    <cellStyle name="Normal 107" xfId="51087" xr:uid="{1CB09294-3E29-4395-9796-FB2E73C10700}"/>
    <cellStyle name="Normal 108" xfId="51091" xr:uid="{00000000-0005-0000-0000-0000C0C70000}"/>
    <cellStyle name="Normal 109" xfId="51092" xr:uid="{EE25EE4E-A951-42BA-AB25-ED012AFB9E4E}"/>
    <cellStyle name="Normal 11" xfId="4301" xr:uid="{00000000-0005-0000-0000-0000172A0000}"/>
    <cellStyle name="Normal 110" xfId="51095" xr:uid="{EE19F51E-CC04-4D6D-9045-B2C9DA802427}"/>
    <cellStyle name="Normal 111" xfId="51099" xr:uid="{AD94E141-F85F-4D61-9FA6-A4C1AA8716E7}"/>
    <cellStyle name="Normal 112" xfId="51101" xr:uid="{8B53C0AD-D7C8-43FB-A76B-A11AA4C2A4D0}"/>
    <cellStyle name="Normal 113" xfId="51103" xr:uid="{6D36E706-0B64-43A0-B8D3-AD600D89B2A4}"/>
    <cellStyle name="Normal 114" xfId="51105" xr:uid="{04C67612-8FE5-4C3B-A926-19D20E1AF236}"/>
    <cellStyle name="Normal 115" xfId="51109" xr:uid="{BDC52D76-12E2-4E6B-B696-B9B52EB06D28}"/>
    <cellStyle name="Normal 116" xfId="51111" xr:uid="{6DF5495F-86ED-45DC-9A0F-7E391482DF1B}"/>
    <cellStyle name="Normal 117" xfId="51114" xr:uid="{00000000-0005-0000-0000-0000D8C70000}"/>
    <cellStyle name="Normal 118" xfId="51118" xr:uid="{68451069-11EA-4736-9383-772AFF0B3AB3}"/>
    <cellStyle name="Normal 119" xfId="51120"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4" xr:uid="{9C597FC3-E3B0-4ADF-8507-FA9CC6A33BDF}"/>
    <cellStyle name="Normal 121" xfId="51127" xr:uid="{1E482B80-9307-4CDB-8A73-83576420FE5A}"/>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25" xfId="51084" xr:uid="{B564C26B-99D8-4CD6-BFF5-41ED900C54AD}"/>
    <cellStyle name="Normal 2 25 2" xfId="51090" xr:uid="{F812A513-A698-4785-ACFF-B3A040DA89A3}"/>
    <cellStyle name="Normal 2 26" xfId="51089" xr:uid="{152CC343-0375-4397-AEE1-E424AC4A3FDD}"/>
    <cellStyle name="Normal 2 27" xfId="51094" xr:uid="{67EECFAC-D24F-48F7-A6FE-1F123FB2642E}"/>
    <cellStyle name="Normal 2 28" xfId="51097" xr:uid="{0CF4838E-D744-4C27-98DD-906FF579108E}"/>
    <cellStyle name="Normal 2 29" xfId="51102"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7" xr:uid="{D0606A37-5D80-4622-9D98-2DB566D5316E}"/>
    <cellStyle name="Normal 2 31" xfId="51110" xr:uid="{9D0D0E32-B36B-4227-B189-01DB8CFABE57}"/>
    <cellStyle name="Normal 2 32" xfId="51113" xr:uid="{B0C2BA4A-749F-4581-9FC9-097C664D6318}"/>
    <cellStyle name="Normal 2 32 2" xfId="51117" xr:uid="{537FF334-5D1B-42C9-96DB-B3C36A933FEE}"/>
    <cellStyle name="Normal 2 32 3" xfId="51123" xr:uid="{C37F05D8-B36B-4860-8F74-4F16FCBC78E0}"/>
    <cellStyle name="Normal 2 33" xfId="51116" xr:uid="{38A9FD58-47A7-408A-9DCA-03E09BF517B7}"/>
    <cellStyle name="Normal 2 34" xfId="51122" xr:uid="{8B2EC995-1618-45FB-B4B6-CAA39B64A83E}"/>
    <cellStyle name="Normal 2 35" xfId="51126" xr:uid="{54EC5BC7-51F4-4C72-9B3D-24B441F633E7}"/>
    <cellStyle name="Normal 2 36" xfId="51129" xr:uid="{F7AC592A-62FE-4D71-955D-4BDA3D00B483}"/>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A4" sqref="A4"/>
    </sheetView>
  </sheetViews>
  <sheetFormatPr defaultColWidth="9.109375" defaultRowHeight="13.2"/>
  <cols>
    <col min="1" max="1" width="33.33203125" style="337" customWidth="1"/>
    <col min="2" max="2" width="117.33203125" style="337" customWidth="1"/>
    <col min="3" max="3" width="9.109375" style="337" customWidth="1"/>
    <col min="4" max="16384" width="9.109375" style="337"/>
  </cols>
  <sheetData>
    <row r="1" spans="1:13" ht="16.2" thickTop="1">
      <c r="A1" s="391" t="s">
        <v>495</v>
      </c>
      <c r="B1" s="392"/>
      <c r="C1" s="100"/>
      <c r="D1" s="100"/>
      <c r="E1" s="100"/>
      <c r="F1" s="100"/>
      <c r="G1" s="100"/>
      <c r="H1" s="100"/>
      <c r="I1" s="100"/>
      <c r="J1" s="100"/>
      <c r="K1" s="100"/>
      <c r="L1" s="100"/>
      <c r="M1" s="100"/>
    </row>
    <row r="2" spans="1:13" ht="128.4" customHeight="1">
      <c r="A2" s="602" t="s">
        <v>496</v>
      </c>
      <c r="B2" s="603"/>
      <c r="C2" s="100"/>
      <c r="D2" s="100"/>
      <c r="E2" s="100"/>
      <c r="F2" s="100"/>
      <c r="G2" s="100"/>
      <c r="H2" s="100"/>
      <c r="I2" s="100"/>
      <c r="J2" s="100"/>
      <c r="K2" s="100"/>
      <c r="L2" s="100"/>
      <c r="M2" s="100"/>
    </row>
    <row r="3" spans="1:13" ht="18.600000000000001" customHeight="1">
      <c r="A3" s="393" t="s">
        <v>607</v>
      </c>
      <c r="B3" s="394"/>
      <c r="C3" s="100"/>
      <c r="D3" s="100"/>
      <c r="E3" s="100"/>
      <c r="F3" s="100"/>
      <c r="G3" s="100"/>
      <c r="H3" s="100"/>
      <c r="I3" s="100"/>
      <c r="J3" s="100"/>
      <c r="K3" s="100"/>
      <c r="L3" s="100"/>
      <c r="M3" s="100"/>
    </row>
    <row r="4" spans="1:13" ht="15.6">
      <c r="A4" s="395"/>
      <c r="B4" s="394"/>
      <c r="C4" s="100"/>
      <c r="D4" s="100"/>
      <c r="E4" s="100"/>
      <c r="F4" s="100"/>
      <c r="G4" s="100"/>
      <c r="H4" s="100"/>
      <c r="I4" s="100"/>
      <c r="J4" s="100"/>
      <c r="K4" s="100"/>
      <c r="L4" s="100"/>
      <c r="M4" s="100"/>
    </row>
    <row r="5" spans="1:13" ht="15.6">
      <c r="A5" s="404" t="s">
        <v>398</v>
      </c>
      <c r="B5" s="408" t="s">
        <v>309</v>
      </c>
    </row>
    <row r="6" spans="1:13" ht="45">
      <c r="A6" s="405" t="s">
        <v>399</v>
      </c>
      <c r="B6" s="396" t="s">
        <v>431</v>
      </c>
    </row>
    <row r="7" spans="1:13" ht="15">
      <c r="A7" s="406" t="s">
        <v>400</v>
      </c>
      <c r="B7" s="394" t="s">
        <v>401</v>
      </c>
    </row>
    <row r="8" spans="1:13" ht="15">
      <c r="A8" s="406" t="s">
        <v>402</v>
      </c>
      <c r="B8" s="394" t="s">
        <v>199</v>
      </c>
    </row>
    <row r="9" spans="1:13" ht="15">
      <c r="A9" s="406" t="s">
        <v>403</v>
      </c>
      <c r="B9" s="394" t="s">
        <v>401</v>
      </c>
    </row>
    <row r="10" spans="1:13" ht="15">
      <c r="A10" s="406" t="s">
        <v>404</v>
      </c>
      <c r="B10" s="394" t="s">
        <v>405</v>
      </c>
    </row>
    <row r="11" spans="1:13" ht="15">
      <c r="A11" s="406" t="s">
        <v>406</v>
      </c>
      <c r="B11" s="394" t="s">
        <v>407</v>
      </c>
    </row>
    <row r="12" spans="1:13" ht="15">
      <c r="A12" s="406" t="s">
        <v>408</v>
      </c>
      <c r="B12" s="394" t="s">
        <v>409</v>
      </c>
    </row>
    <row r="13" spans="1:13" ht="15">
      <c r="A13" s="406" t="s">
        <v>410</v>
      </c>
      <c r="B13" s="394" t="s">
        <v>411</v>
      </c>
    </row>
    <row r="14" spans="1:13" ht="15">
      <c r="A14" s="406" t="s">
        <v>412</v>
      </c>
      <c r="B14" s="394" t="s">
        <v>413</v>
      </c>
    </row>
    <row r="15" spans="1:13" ht="15">
      <c r="A15" s="406" t="s">
        <v>414</v>
      </c>
      <c r="B15" s="394" t="s">
        <v>415</v>
      </c>
    </row>
    <row r="16" spans="1:13" ht="15">
      <c r="A16" s="406" t="s">
        <v>416</v>
      </c>
      <c r="B16" s="394" t="s">
        <v>417</v>
      </c>
    </row>
    <row r="17" spans="1:2" ht="15">
      <c r="A17" s="406" t="s">
        <v>418</v>
      </c>
      <c r="B17" s="394" t="s">
        <v>216</v>
      </c>
    </row>
    <row r="18" spans="1:2" ht="15">
      <c r="A18" s="406" t="s">
        <v>419</v>
      </c>
      <c r="B18" s="394" t="s">
        <v>420</v>
      </c>
    </row>
    <row r="19" spans="1:2" ht="15">
      <c r="A19" s="406" t="s">
        <v>421</v>
      </c>
      <c r="B19" s="394" t="s">
        <v>422</v>
      </c>
    </row>
    <row r="20" spans="1:2" ht="15">
      <c r="A20" s="406" t="s">
        <v>423</v>
      </c>
      <c r="B20" s="394" t="s">
        <v>424</v>
      </c>
    </row>
    <row r="21" spans="1:2" ht="15">
      <c r="A21" s="407" t="s">
        <v>427</v>
      </c>
      <c r="B21" s="394" t="s">
        <v>429</v>
      </c>
    </row>
    <row r="22" spans="1:2" ht="15">
      <c r="A22" s="407" t="s">
        <v>428</v>
      </c>
      <c r="B22" s="394" t="s">
        <v>425</v>
      </c>
    </row>
    <row r="23" spans="1:2" ht="15">
      <c r="A23" s="407" t="s">
        <v>426</v>
      </c>
      <c r="B23" s="394" t="s">
        <v>430</v>
      </c>
    </row>
    <row r="24" spans="1:2" ht="15.6" thickBot="1">
      <c r="A24" s="397" t="s">
        <v>436</v>
      </c>
      <c r="B24" s="398"/>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B14" sqref="B14"/>
    </sheetView>
  </sheetViews>
  <sheetFormatPr defaultRowHeight="13.2"/>
  <cols>
    <col min="1" max="1" width="58.33203125" style="330" bestFit="1" customWidth="1"/>
    <col min="2" max="2" width="17.6640625" style="330" bestFit="1" customWidth="1"/>
    <col min="3" max="5" width="11.88671875" style="320" hidden="1" customWidth="1"/>
    <col min="6" max="6" width="11.88671875" style="320" customWidth="1"/>
    <col min="7" max="8" width="11.88671875" style="320" hidden="1" customWidth="1"/>
    <col min="9" max="9" width="13.44140625" style="320" hidden="1" customWidth="1"/>
    <col min="10" max="10" width="14.6640625" style="320" hidden="1" customWidth="1"/>
    <col min="11" max="11" width="11.88671875" style="320" hidden="1" customWidth="1"/>
    <col min="12" max="12" width="13" style="320" hidden="1" customWidth="1"/>
    <col min="13" max="13" width="12.6640625" style="320" hidden="1" customWidth="1"/>
    <col min="14" max="14" width="11.88671875" style="320" hidden="1" customWidth="1"/>
    <col min="15" max="15" width="16.109375" style="320" bestFit="1" customWidth="1"/>
    <col min="16" max="16" width="22.33203125" style="330" customWidth="1"/>
    <col min="17" max="17" width="22.33203125" style="331" customWidth="1"/>
    <col min="18" max="18" width="10.44140625" style="330" customWidth="1"/>
    <col min="19" max="250" width="8.88671875" style="330"/>
    <col min="251" max="251" width="57.33203125" style="330" bestFit="1" customWidth="1"/>
    <col min="252" max="252" width="10.6640625" style="330" bestFit="1" customWidth="1"/>
    <col min="253" max="263" width="9.109375" style="330" customWidth="1"/>
    <col min="264" max="264" width="14.88671875" style="330" bestFit="1" customWidth="1"/>
    <col min="265" max="273" width="9.109375" style="330" customWidth="1"/>
    <col min="274" max="274" width="10.44140625" style="330" customWidth="1"/>
    <col min="275" max="506" width="8.88671875" style="330"/>
    <col min="507" max="507" width="57.33203125" style="330" bestFit="1" customWidth="1"/>
    <col min="508" max="508" width="10.6640625" style="330" bestFit="1" customWidth="1"/>
    <col min="509" max="519" width="9.109375" style="330" customWidth="1"/>
    <col min="520" max="520" width="14.88671875" style="330" bestFit="1" customWidth="1"/>
    <col min="521" max="529" width="9.109375" style="330" customWidth="1"/>
    <col min="530" max="530" width="10.44140625" style="330" customWidth="1"/>
    <col min="531" max="762" width="8.88671875" style="330"/>
    <col min="763" max="763" width="57.33203125" style="330" bestFit="1" customWidth="1"/>
    <col min="764" max="764" width="10.6640625" style="330" bestFit="1" customWidth="1"/>
    <col min="765" max="775" width="9.109375" style="330" customWidth="1"/>
    <col min="776" max="776" width="14.88671875" style="330" bestFit="1" customWidth="1"/>
    <col min="777" max="785" width="9.109375" style="330" customWidth="1"/>
    <col min="786" max="786" width="10.44140625" style="330" customWidth="1"/>
    <col min="787" max="1018" width="8.88671875" style="330"/>
    <col min="1019" max="1019" width="57.33203125" style="330" bestFit="1" customWidth="1"/>
    <col min="1020" max="1020" width="10.6640625" style="330" bestFit="1" customWidth="1"/>
    <col min="1021" max="1031" width="9.109375" style="330" customWidth="1"/>
    <col min="1032" max="1032" width="14.88671875" style="330" bestFit="1" customWidth="1"/>
    <col min="1033" max="1041" width="9.109375" style="330" customWidth="1"/>
    <col min="1042" max="1042" width="10.44140625" style="330" customWidth="1"/>
    <col min="1043" max="1274" width="8.88671875" style="330"/>
    <col min="1275" max="1275" width="57.33203125" style="330" bestFit="1" customWidth="1"/>
    <col min="1276" max="1276" width="10.6640625" style="330" bestFit="1" customWidth="1"/>
    <col min="1277" max="1287" width="9.109375" style="330" customWidth="1"/>
    <col min="1288" max="1288" width="14.88671875" style="330" bestFit="1" customWidth="1"/>
    <col min="1289" max="1297" width="9.109375" style="330" customWidth="1"/>
    <col min="1298" max="1298" width="10.44140625" style="330" customWidth="1"/>
    <col min="1299" max="1530" width="8.88671875" style="330"/>
    <col min="1531" max="1531" width="57.33203125" style="330" bestFit="1" customWidth="1"/>
    <col min="1532" max="1532" width="10.6640625" style="330" bestFit="1" customWidth="1"/>
    <col min="1533" max="1543" width="9.109375" style="330" customWidth="1"/>
    <col min="1544" max="1544" width="14.88671875" style="330" bestFit="1" customWidth="1"/>
    <col min="1545" max="1553" width="9.109375" style="330" customWidth="1"/>
    <col min="1554" max="1554" width="10.44140625" style="330" customWidth="1"/>
    <col min="1555" max="1786" width="8.88671875" style="330"/>
    <col min="1787" max="1787" width="57.33203125" style="330" bestFit="1" customWidth="1"/>
    <col min="1788" max="1788" width="10.6640625" style="330" bestFit="1" customWidth="1"/>
    <col min="1789" max="1799" width="9.109375" style="330" customWidth="1"/>
    <col min="1800" max="1800" width="14.88671875" style="330" bestFit="1" customWidth="1"/>
    <col min="1801" max="1809" width="9.109375" style="330" customWidth="1"/>
    <col min="1810" max="1810" width="10.44140625" style="330" customWidth="1"/>
    <col min="1811" max="2042" width="8.88671875" style="330"/>
    <col min="2043" max="2043" width="57.33203125" style="330" bestFit="1" customWidth="1"/>
    <col min="2044" max="2044" width="10.6640625" style="330" bestFit="1" customWidth="1"/>
    <col min="2045" max="2055" width="9.109375" style="330" customWidth="1"/>
    <col min="2056" max="2056" width="14.88671875" style="330" bestFit="1" customWidth="1"/>
    <col min="2057" max="2065" width="9.109375" style="330" customWidth="1"/>
    <col min="2066" max="2066" width="10.44140625" style="330" customWidth="1"/>
    <col min="2067" max="2298" width="8.88671875" style="330"/>
    <col min="2299" max="2299" width="57.33203125" style="330" bestFit="1" customWidth="1"/>
    <col min="2300" max="2300" width="10.6640625" style="330" bestFit="1" customWidth="1"/>
    <col min="2301" max="2311" width="9.109375" style="330" customWidth="1"/>
    <col min="2312" max="2312" width="14.88671875" style="330" bestFit="1" customWidth="1"/>
    <col min="2313" max="2321" width="9.109375" style="330" customWidth="1"/>
    <col min="2322" max="2322" width="10.44140625" style="330" customWidth="1"/>
    <col min="2323" max="2554" width="8.88671875" style="330"/>
    <col min="2555" max="2555" width="57.33203125" style="330" bestFit="1" customWidth="1"/>
    <col min="2556" max="2556" width="10.6640625" style="330" bestFit="1" customWidth="1"/>
    <col min="2557" max="2567" width="9.109375" style="330" customWidth="1"/>
    <col min="2568" max="2568" width="14.88671875" style="330" bestFit="1" customWidth="1"/>
    <col min="2569" max="2577" width="9.109375" style="330" customWidth="1"/>
    <col min="2578" max="2578" width="10.44140625" style="330" customWidth="1"/>
    <col min="2579" max="2810" width="8.88671875" style="330"/>
    <col min="2811" max="2811" width="57.33203125" style="330" bestFit="1" customWidth="1"/>
    <col min="2812" max="2812" width="10.6640625" style="330" bestFit="1" customWidth="1"/>
    <col min="2813" max="2823" width="9.109375" style="330" customWidth="1"/>
    <col min="2824" max="2824" width="14.88671875" style="330" bestFit="1" customWidth="1"/>
    <col min="2825" max="2833" width="9.109375" style="330" customWidth="1"/>
    <col min="2834" max="2834" width="10.44140625" style="330" customWidth="1"/>
    <col min="2835" max="3066" width="8.88671875" style="330"/>
    <col min="3067" max="3067" width="57.33203125" style="330" bestFit="1" customWidth="1"/>
    <col min="3068" max="3068" width="10.6640625" style="330" bestFit="1" customWidth="1"/>
    <col min="3069" max="3079" width="9.109375" style="330" customWidth="1"/>
    <col min="3080" max="3080" width="14.88671875" style="330" bestFit="1" customWidth="1"/>
    <col min="3081" max="3089" width="9.109375" style="330" customWidth="1"/>
    <col min="3090" max="3090" width="10.44140625" style="330" customWidth="1"/>
    <col min="3091" max="3322" width="8.88671875" style="330"/>
    <col min="3323" max="3323" width="57.33203125" style="330" bestFit="1" customWidth="1"/>
    <col min="3324" max="3324" width="10.6640625" style="330" bestFit="1" customWidth="1"/>
    <col min="3325" max="3335" width="9.109375" style="330" customWidth="1"/>
    <col min="3336" max="3336" width="14.88671875" style="330" bestFit="1" customWidth="1"/>
    <col min="3337" max="3345" width="9.109375" style="330" customWidth="1"/>
    <col min="3346" max="3346" width="10.44140625" style="330" customWidth="1"/>
    <col min="3347" max="3578" width="8.88671875" style="330"/>
    <col min="3579" max="3579" width="57.33203125" style="330" bestFit="1" customWidth="1"/>
    <col min="3580" max="3580" width="10.6640625" style="330" bestFit="1" customWidth="1"/>
    <col min="3581" max="3591" width="9.109375" style="330" customWidth="1"/>
    <col min="3592" max="3592" width="14.88671875" style="330" bestFit="1" customWidth="1"/>
    <col min="3593" max="3601" width="9.109375" style="330" customWidth="1"/>
    <col min="3602" max="3602" width="10.44140625" style="330" customWidth="1"/>
    <col min="3603" max="3834" width="8.88671875" style="330"/>
    <col min="3835" max="3835" width="57.33203125" style="330" bestFit="1" customWidth="1"/>
    <col min="3836" max="3836" width="10.6640625" style="330" bestFit="1" customWidth="1"/>
    <col min="3837" max="3847" width="9.109375" style="330" customWidth="1"/>
    <col min="3848" max="3848" width="14.88671875" style="330" bestFit="1" customWidth="1"/>
    <col min="3849" max="3857" width="9.109375" style="330" customWidth="1"/>
    <col min="3858" max="3858" width="10.44140625" style="330" customWidth="1"/>
    <col min="3859" max="4090" width="8.88671875" style="330"/>
    <col min="4091" max="4091" width="57.33203125" style="330" bestFit="1" customWidth="1"/>
    <col min="4092" max="4092" width="10.6640625" style="330" bestFit="1" customWidth="1"/>
    <col min="4093" max="4103" width="9.109375" style="330" customWidth="1"/>
    <col min="4104" max="4104" width="14.88671875" style="330" bestFit="1" customWidth="1"/>
    <col min="4105" max="4113" width="9.109375" style="330" customWidth="1"/>
    <col min="4114" max="4114" width="10.44140625" style="330" customWidth="1"/>
    <col min="4115" max="4346" width="8.88671875" style="330"/>
    <col min="4347" max="4347" width="57.33203125" style="330" bestFit="1" customWidth="1"/>
    <col min="4348" max="4348" width="10.6640625" style="330" bestFit="1" customWidth="1"/>
    <col min="4349" max="4359" width="9.109375" style="330" customWidth="1"/>
    <col min="4360" max="4360" width="14.88671875" style="330" bestFit="1" customWidth="1"/>
    <col min="4361" max="4369" width="9.109375" style="330" customWidth="1"/>
    <col min="4370" max="4370" width="10.44140625" style="330" customWidth="1"/>
    <col min="4371" max="4602" width="8.88671875" style="330"/>
    <col min="4603" max="4603" width="57.33203125" style="330" bestFit="1" customWidth="1"/>
    <col min="4604" max="4604" width="10.6640625" style="330" bestFit="1" customWidth="1"/>
    <col min="4605" max="4615" width="9.109375" style="330" customWidth="1"/>
    <col min="4616" max="4616" width="14.88671875" style="330" bestFit="1" customWidth="1"/>
    <col min="4617" max="4625" width="9.109375" style="330" customWidth="1"/>
    <col min="4626" max="4626" width="10.44140625" style="330" customWidth="1"/>
    <col min="4627" max="4858" width="8.88671875" style="330"/>
    <col min="4859" max="4859" width="57.33203125" style="330" bestFit="1" customWidth="1"/>
    <col min="4860" max="4860" width="10.6640625" style="330" bestFit="1" customWidth="1"/>
    <col min="4861" max="4871" width="9.109375" style="330" customWidth="1"/>
    <col min="4872" max="4872" width="14.88671875" style="330" bestFit="1" customWidth="1"/>
    <col min="4873" max="4881" width="9.109375" style="330" customWidth="1"/>
    <col min="4882" max="4882" width="10.44140625" style="330" customWidth="1"/>
    <col min="4883" max="5114" width="8.88671875" style="330"/>
    <col min="5115" max="5115" width="57.33203125" style="330" bestFit="1" customWidth="1"/>
    <col min="5116" max="5116" width="10.6640625" style="330" bestFit="1" customWidth="1"/>
    <col min="5117" max="5127" width="9.109375" style="330" customWidth="1"/>
    <col min="5128" max="5128" width="14.88671875" style="330" bestFit="1" customWidth="1"/>
    <col min="5129" max="5137" width="9.109375" style="330" customWidth="1"/>
    <col min="5138" max="5138" width="10.44140625" style="330" customWidth="1"/>
    <col min="5139" max="5370" width="8.88671875" style="330"/>
    <col min="5371" max="5371" width="57.33203125" style="330" bestFit="1" customWidth="1"/>
    <col min="5372" max="5372" width="10.6640625" style="330" bestFit="1" customWidth="1"/>
    <col min="5373" max="5383" width="9.109375" style="330" customWidth="1"/>
    <col min="5384" max="5384" width="14.88671875" style="330" bestFit="1" customWidth="1"/>
    <col min="5385" max="5393" width="9.109375" style="330" customWidth="1"/>
    <col min="5394" max="5394" width="10.44140625" style="330" customWidth="1"/>
    <col min="5395" max="5626" width="8.88671875" style="330"/>
    <col min="5627" max="5627" width="57.33203125" style="330" bestFit="1" customWidth="1"/>
    <col min="5628" max="5628" width="10.6640625" style="330" bestFit="1" customWidth="1"/>
    <col min="5629" max="5639" width="9.109375" style="330" customWidth="1"/>
    <col min="5640" max="5640" width="14.88671875" style="330" bestFit="1" customWidth="1"/>
    <col min="5641" max="5649" width="9.109375" style="330" customWidth="1"/>
    <col min="5650" max="5650" width="10.44140625" style="330" customWidth="1"/>
    <col min="5651" max="5882" width="8.88671875" style="330"/>
    <col min="5883" max="5883" width="57.33203125" style="330" bestFit="1" customWidth="1"/>
    <col min="5884" max="5884" width="10.6640625" style="330" bestFit="1" customWidth="1"/>
    <col min="5885" max="5895" width="9.109375" style="330" customWidth="1"/>
    <col min="5896" max="5896" width="14.88671875" style="330" bestFit="1" customWidth="1"/>
    <col min="5897" max="5905" width="9.109375" style="330" customWidth="1"/>
    <col min="5906" max="5906" width="10.44140625" style="330" customWidth="1"/>
    <col min="5907" max="6138" width="8.88671875" style="330"/>
    <col min="6139" max="6139" width="57.33203125" style="330" bestFit="1" customWidth="1"/>
    <col min="6140" max="6140" width="10.6640625" style="330" bestFit="1" customWidth="1"/>
    <col min="6141" max="6151" width="9.109375" style="330" customWidth="1"/>
    <col min="6152" max="6152" width="14.88671875" style="330" bestFit="1" customWidth="1"/>
    <col min="6153" max="6161" width="9.109375" style="330" customWidth="1"/>
    <col min="6162" max="6162" width="10.44140625" style="330" customWidth="1"/>
    <col min="6163" max="6394" width="8.88671875" style="330"/>
    <col min="6395" max="6395" width="57.33203125" style="330" bestFit="1" customWidth="1"/>
    <col min="6396" max="6396" width="10.6640625" style="330" bestFit="1" customWidth="1"/>
    <col min="6397" max="6407" width="9.109375" style="330" customWidth="1"/>
    <col min="6408" max="6408" width="14.88671875" style="330" bestFit="1" customWidth="1"/>
    <col min="6409" max="6417" width="9.109375" style="330" customWidth="1"/>
    <col min="6418" max="6418" width="10.44140625" style="330" customWidth="1"/>
    <col min="6419" max="6650" width="8.88671875" style="330"/>
    <col min="6651" max="6651" width="57.33203125" style="330" bestFit="1" customWidth="1"/>
    <col min="6652" max="6652" width="10.6640625" style="330" bestFit="1" customWidth="1"/>
    <col min="6653" max="6663" width="9.109375" style="330" customWidth="1"/>
    <col min="6664" max="6664" width="14.88671875" style="330" bestFit="1" customWidth="1"/>
    <col min="6665" max="6673" width="9.109375" style="330" customWidth="1"/>
    <col min="6674" max="6674" width="10.44140625" style="330" customWidth="1"/>
    <col min="6675" max="6906" width="8.88671875" style="330"/>
    <col min="6907" max="6907" width="57.33203125" style="330" bestFit="1" customWidth="1"/>
    <col min="6908" max="6908" width="10.6640625" style="330" bestFit="1" customWidth="1"/>
    <col min="6909" max="6919" width="9.109375" style="330" customWidth="1"/>
    <col min="6920" max="6920" width="14.88671875" style="330" bestFit="1" customWidth="1"/>
    <col min="6921" max="6929" width="9.109375" style="330" customWidth="1"/>
    <col min="6930" max="6930" width="10.44140625" style="330" customWidth="1"/>
    <col min="6931" max="7162" width="8.88671875" style="330"/>
    <col min="7163" max="7163" width="57.33203125" style="330" bestFit="1" customWidth="1"/>
    <col min="7164" max="7164" width="10.6640625" style="330" bestFit="1" customWidth="1"/>
    <col min="7165" max="7175" width="9.109375" style="330" customWidth="1"/>
    <col min="7176" max="7176" width="14.88671875" style="330" bestFit="1" customWidth="1"/>
    <col min="7177" max="7185" width="9.109375" style="330" customWidth="1"/>
    <col min="7186" max="7186" width="10.44140625" style="330" customWidth="1"/>
    <col min="7187" max="7418" width="8.88671875" style="330"/>
    <col min="7419" max="7419" width="57.33203125" style="330" bestFit="1" customWidth="1"/>
    <col min="7420" max="7420" width="10.6640625" style="330" bestFit="1" customWidth="1"/>
    <col min="7421" max="7431" width="9.109375" style="330" customWidth="1"/>
    <col min="7432" max="7432" width="14.88671875" style="330" bestFit="1" customWidth="1"/>
    <col min="7433" max="7441" width="9.109375" style="330" customWidth="1"/>
    <col min="7442" max="7442" width="10.44140625" style="330" customWidth="1"/>
    <col min="7443" max="7674" width="8.88671875" style="330"/>
    <col min="7675" max="7675" width="57.33203125" style="330" bestFit="1" customWidth="1"/>
    <col min="7676" max="7676" width="10.6640625" style="330" bestFit="1" customWidth="1"/>
    <col min="7677" max="7687" width="9.109375" style="330" customWidth="1"/>
    <col min="7688" max="7688" width="14.88671875" style="330" bestFit="1" customWidth="1"/>
    <col min="7689" max="7697" width="9.109375" style="330" customWidth="1"/>
    <col min="7698" max="7698" width="10.44140625" style="330" customWidth="1"/>
    <col min="7699" max="7930" width="8.88671875" style="330"/>
    <col min="7931" max="7931" width="57.33203125" style="330" bestFit="1" customWidth="1"/>
    <col min="7932" max="7932" width="10.6640625" style="330" bestFit="1" customWidth="1"/>
    <col min="7933" max="7943" width="9.109375" style="330" customWidth="1"/>
    <col min="7944" max="7944" width="14.88671875" style="330" bestFit="1" customWidth="1"/>
    <col min="7945" max="7953" width="9.109375" style="330" customWidth="1"/>
    <col min="7954" max="7954" width="10.44140625" style="330" customWidth="1"/>
    <col min="7955" max="8186" width="8.88671875" style="330"/>
    <col min="8187" max="8187" width="57.33203125" style="330" bestFit="1" customWidth="1"/>
    <col min="8188" max="8188" width="10.6640625" style="330" bestFit="1" customWidth="1"/>
    <col min="8189" max="8199" width="9.109375" style="330" customWidth="1"/>
    <col min="8200" max="8200" width="14.88671875" style="330" bestFit="1" customWidth="1"/>
    <col min="8201" max="8209" width="9.109375" style="330" customWidth="1"/>
    <col min="8210" max="8210" width="10.44140625" style="330" customWidth="1"/>
    <col min="8211" max="8442" width="8.88671875" style="330"/>
    <col min="8443" max="8443" width="57.33203125" style="330" bestFit="1" customWidth="1"/>
    <col min="8444" max="8444" width="10.6640625" style="330" bestFit="1" customWidth="1"/>
    <col min="8445" max="8455" width="9.109375" style="330" customWidth="1"/>
    <col min="8456" max="8456" width="14.88671875" style="330" bestFit="1" customWidth="1"/>
    <col min="8457" max="8465" width="9.109375" style="330" customWidth="1"/>
    <col min="8466" max="8466" width="10.44140625" style="330" customWidth="1"/>
    <col min="8467" max="8698" width="8.88671875" style="330"/>
    <col min="8699" max="8699" width="57.33203125" style="330" bestFit="1" customWidth="1"/>
    <col min="8700" max="8700" width="10.6640625" style="330" bestFit="1" customWidth="1"/>
    <col min="8701" max="8711" width="9.109375" style="330" customWidth="1"/>
    <col min="8712" max="8712" width="14.88671875" style="330" bestFit="1" customWidth="1"/>
    <col min="8713" max="8721" width="9.109375" style="330" customWidth="1"/>
    <col min="8722" max="8722" width="10.44140625" style="330" customWidth="1"/>
    <col min="8723" max="8954" width="8.88671875" style="330"/>
    <col min="8955" max="8955" width="57.33203125" style="330" bestFit="1" customWidth="1"/>
    <col min="8956" max="8956" width="10.6640625" style="330" bestFit="1" customWidth="1"/>
    <col min="8957" max="8967" width="9.109375" style="330" customWidth="1"/>
    <col min="8968" max="8968" width="14.88671875" style="330" bestFit="1" customWidth="1"/>
    <col min="8969" max="8977" width="9.109375" style="330" customWidth="1"/>
    <col min="8978" max="8978" width="10.44140625" style="330" customWidth="1"/>
    <col min="8979" max="9210" width="8.88671875" style="330"/>
    <col min="9211" max="9211" width="57.33203125" style="330" bestFit="1" customWidth="1"/>
    <col min="9212" max="9212" width="10.6640625" style="330" bestFit="1" customWidth="1"/>
    <col min="9213" max="9223" width="9.109375" style="330" customWidth="1"/>
    <col min="9224" max="9224" width="14.88671875" style="330" bestFit="1" customWidth="1"/>
    <col min="9225" max="9233" width="9.109375" style="330" customWidth="1"/>
    <col min="9234" max="9234" width="10.44140625" style="330" customWidth="1"/>
    <col min="9235" max="9466" width="8.88671875" style="330"/>
    <col min="9467" max="9467" width="57.33203125" style="330" bestFit="1" customWidth="1"/>
    <col min="9468" max="9468" width="10.6640625" style="330" bestFit="1" customWidth="1"/>
    <col min="9469" max="9479" width="9.109375" style="330" customWidth="1"/>
    <col min="9480" max="9480" width="14.88671875" style="330" bestFit="1" customWidth="1"/>
    <col min="9481" max="9489" width="9.109375" style="330" customWidth="1"/>
    <col min="9490" max="9490" width="10.44140625" style="330" customWidth="1"/>
    <col min="9491" max="9722" width="8.88671875" style="330"/>
    <col min="9723" max="9723" width="57.33203125" style="330" bestFit="1" customWidth="1"/>
    <col min="9724" max="9724" width="10.6640625" style="330" bestFit="1" customWidth="1"/>
    <col min="9725" max="9735" width="9.109375" style="330" customWidth="1"/>
    <col min="9736" max="9736" width="14.88671875" style="330" bestFit="1" customWidth="1"/>
    <col min="9737" max="9745" width="9.109375" style="330" customWidth="1"/>
    <col min="9746" max="9746" width="10.44140625" style="330" customWidth="1"/>
    <col min="9747" max="9978" width="8.88671875" style="330"/>
    <col min="9979" max="9979" width="57.33203125" style="330" bestFit="1" customWidth="1"/>
    <col min="9980" max="9980" width="10.6640625" style="330" bestFit="1" customWidth="1"/>
    <col min="9981" max="9991" width="9.109375" style="330" customWidth="1"/>
    <col min="9992" max="9992" width="14.88671875" style="330" bestFit="1" customWidth="1"/>
    <col min="9993" max="10001" width="9.109375" style="330" customWidth="1"/>
    <col min="10002" max="10002" width="10.44140625" style="330" customWidth="1"/>
    <col min="10003" max="10234" width="8.88671875" style="330"/>
    <col min="10235" max="10235" width="57.33203125" style="330" bestFit="1" customWidth="1"/>
    <col min="10236" max="10236" width="10.6640625" style="330" bestFit="1" customWidth="1"/>
    <col min="10237" max="10247" width="9.109375" style="330" customWidth="1"/>
    <col min="10248" max="10248" width="14.88671875" style="330" bestFit="1" customWidth="1"/>
    <col min="10249" max="10257" width="9.109375" style="330" customWidth="1"/>
    <col min="10258" max="10258" width="10.44140625" style="330" customWidth="1"/>
    <col min="10259" max="10490" width="8.88671875" style="330"/>
    <col min="10491" max="10491" width="57.33203125" style="330" bestFit="1" customWidth="1"/>
    <col min="10492" max="10492" width="10.6640625" style="330" bestFit="1" customWidth="1"/>
    <col min="10493" max="10503" width="9.109375" style="330" customWidth="1"/>
    <col min="10504" max="10504" width="14.88671875" style="330" bestFit="1" customWidth="1"/>
    <col min="10505" max="10513" width="9.109375" style="330" customWidth="1"/>
    <col min="10514" max="10514" width="10.44140625" style="330" customWidth="1"/>
    <col min="10515" max="10746" width="8.88671875" style="330"/>
    <col min="10747" max="10747" width="57.33203125" style="330" bestFit="1" customWidth="1"/>
    <col min="10748" max="10748" width="10.6640625" style="330" bestFit="1" customWidth="1"/>
    <col min="10749" max="10759" width="9.109375" style="330" customWidth="1"/>
    <col min="10760" max="10760" width="14.88671875" style="330" bestFit="1" customWidth="1"/>
    <col min="10761" max="10769" width="9.109375" style="330" customWidth="1"/>
    <col min="10770" max="10770" width="10.44140625" style="330" customWidth="1"/>
    <col min="10771" max="11002" width="8.88671875" style="330"/>
    <col min="11003" max="11003" width="57.33203125" style="330" bestFit="1" customWidth="1"/>
    <col min="11004" max="11004" width="10.6640625" style="330" bestFit="1" customWidth="1"/>
    <col min="11005" max="11015" width="9.109375" style="330" customWidth="1"/>
    <col min="11016" max="11016" width="14.88671875" style="330" bestFit="1" customWidth="1"/>
    <col min="11017" max="11025" width="9.109375" style="330" customWidth="1"/>
    <col min="11026" max="11026" width="10.44140625" style="330" customWidth="1"/>
    <col min="11027" max="11258" width="8.88671875" style="330"/>
    <col min="11259" max="11259" width="57.33203125" style="330" bestFit="1" customWidth="1"/>
    <col min="11260" max="11260" width="10.6640625" style="330" bestFit="1" customWidth="1"/>
    <col min="11261" max="11271" width="9.109375" style="330" customWidth="1"/>
    <col min="11272" max="11272" width="14.88671875" style="330" bestFit="1" customWidth="1"/>
    <col min="11273" max="11281" width="9.109375" style="330" customWidth="1"/>
    <col min="11282" max="11282" width="10.44140625" style="330" customWidth="1"/>
    <col min="11283" max="11514" width="8.88671875" style="330"/>
    <col min="11515" max="11515" width="57.33203125" style="330" bestFit="1" customWidth="1"/>
    <col min="11516" max="11516" width="10.6640625" style="330" bestFit="1" customWidth="1"/>
    <col min="11517" max="11527" width="9.109375" style="330" customWidth="1"/>
    <col min="11528" max="11528" width="14.88671875" style="330" bestFit="1" customWidth="1"/>
    <col min="11529" max="11537" width="9.109375" style="330" customWidth="1"/>
    <col min="11538" max="11538" width="10.44140625" style="330" customWidth="1"/>
    <col min="11539" max="11770" width="8.88671875" style="330"/>
    <col min="11771" max="11771" width="57.33203125" style="330" bestFit="1" customWidth="1"/>
    <col min="11772" max="11772" width="10.6640625" style="330" bestFit="1" customWidth="1"/>
    <col min="11773" max="11783" width="9.109375" style="330" customWidth="1"/>
    <col min="11784" max="11784" width="14.88671875" style="330" bestFit="1" customWidth="1"/>
    <col min="11785" max="11793" width="9.109375" style="330" customWidth="1"/>
    <col min="11794" max="11794" width="10.44140625" style="330" customWidth="1"/>
    <col min="11795" max="12026" width="8.88671875" style="330"/>
    <col min="12027" max="12027" width="57.33203125" style="330" bestFit="1" customWidth="1"/>
    <col min="12028" max="12028" width="10.6640625" style="330" bestFit="1" customWidth="1"/>
    <col min="12029" max="12039" width="9.109375" style="330" customWidth="1"/>
    <col min="12040" max="12040" width="14.88671875" style="330" bestFit="1" customWidth="1"/>
    <col min="12041" max="12049" width="9.109375" style="330" customWidth="1"/>
    <col min="12050" max="12050" width="10.44140625" style="330" customWidth="1"/>
    <col min="12051" max="12282" width="8.88671875" style="330"/>
    <col min="12283" max="12283" width="57.33203125" style="330" bestFit="1" customWidth="1"/>
    <col min="12284" max="12284" width="10.6640625" style="330" bestFit="1" customWidth="1"/>
    <col min="12285" max="12295" width="9.109375" style="330" customWidth="1"/>
    <col min="12296" max="12296" width="14.88671875" style="330" bestFit="1" customWidth="1"/>
    <col min="12297" max="12305" width="9.109375" style="330" customWidth="1"/>
    <col min="12306" max="12306" width="10.44140625" style="330" customWidth="1"/>
    <col min="12307" max="12538" width="8.88671875" style="330"/>
    <col min="12539" max="12539" width="57.33203125" style="330" bestFit="1" customWidth="1"/>
    <col min="12540" max="12540" width="10.6640625" style="330" bestFit="1" customWidth="1"/>
    <col min="12541" max="12551" width="9.109375" style="330" customWidth="1"/>
    <col min="12552" max="12552" width="14.88671875" style="330" bestFit="1" customWidth="1"/>
    <col min="12553" max="12561" width="9.109375" style="330" customWidth="1"/>
    <col min="12562" max="12562" width="10.44140625" style="330" customWidth="1"/>
    <col min="12563" max="12794" width="8.88671875" style="330"/>
    <col min="12795" max="12795" width="57.33203125" style="330" bestFit="1" customWidth="1"/>
    <col min="12796" max="12796" width="10.6640625" style="330" bestFit="1" customWidth="1"/>
    <col min="12797" max="12807" width="9.109375" style="330" customWidth="1"/>
    <col min="12808" max="12808" width="14.88671875" style="330" bestFit="1" customWidth="1"/>
    <col min="12809" max="12817" width="9.109375" style="330" customWidth="1"/>
    <col min="12818" max="12818" width="10.44140625" style="330" customWidth="1"/>
    <col min="12819" max="13050" width="8.88671875" style="330"/>
    <col min="13051" max="13051" width="57.33203125" style="330" bestFit="1" customWidth="1"/>
    <col min="13052" max="13052" width="10.6640625" style="330" bestFit="1" customWidth="1"/>
    <col min="13053" max="13063" width="9.109375" style="330" customWidth="1"/>
    <col min="13064" max="13064" width="14.88671875" style="330" bestFit="1" customWidth="1"/>
    <col min="13065" max="13073" width="9.109375" style="330" customWidth="1"/>
    <col min="13074" max="13074" width="10.44140625" style="330" customWidth="1"/>
    <col min="13075" max="13306" width="8.88671875" style="330"/>
    <col min="13307" max="13307" width="57.33203125" style="330" bestFit="1" customWidth="1"/>
    <col min="13308" max="13308" width="10.6640625" style="330" bestFit="1" customWidth="1"/>
    <col min="13309" max="13319" width="9.109375" style="330" customWidth="1"/>
    <col min="13320" max="13320" width="14.88671875" style="330" bestFit="1" customWidth="1"/>
    <col min="13321" max="13329" width="9.109375" style="330" customWidth="1"/>
    <col min="13330" max="13330" width="10.44140625" style="330" customWidth="1"/>
    <col min="13331" max="13562" width="8.88671875" style="330"/>
    <col min="13563" max="13563" width="57.33203125" style="330" bestFit="1" customWidth="1"/>
    <col min="13564" max="13564" width="10.6640625" style="330" bestFit="1" customWidth="1"/>
    <col min="13565" max="13575" width="9.109375" style="330" customWidth="1"/>
    <col min="13576" max="13576" width="14.88671875" style="330" bestFit="1" customWidth="1"/>
    <col min="13577" max="13585" width="9.109375" style="330" customWidth="1"/>
    <col min="13586" max="13586" width="10.44140625" style="330" customWidth="1"/>
    <col min="13587" max="13818" width="8.88671875" style="330"/>
    <col min="13819" max="13819" width="57.33203125" style="330" bestFit="1" customWidth="1"/>
    <col min="13820" max="13820" width="10.6640625" style="330" bestFit="1" customWidth="1"/>
    <col min="13821" max="13831" width="9.109375" style="330" customWidth="1"/>
    <col min="13832" max="13832" width="14.88671875" style="330" bestFit="1" customWidth="1"/>
    <col min="13833" max="13841" width="9.109375" style="330" customWidth="1"/>
    <col min="13842" max="13842" width="10.44140625" style="330" customWidth="1"/>
    <col min="13843" max="14074" width="8.88671875" style="330"/>
    <col min="14075" max="14075" width="57.33203125" style="330" bestFit="1" customWidth="1"/>
    <col min="14076" max="14076" width="10.6640625" style="330" bestFit="1" customWidth="1"/>
    <col min="14077" max="14087" width="9.109375" style="330" customWidth="1"/>
    <col min="14088" max="14088" width="14.88671875" style="330" bestFit="1" customWidth="1"/>
    <col min="14089" max="14097" width="9.109375" style="330" customWidth="1"/>
    <col min="14098" max="14098" width="10.44140625" style="330" customWidth="1"/>
    <col min="14099" max="14330" width="8.88671875" style="330"/>
    <col min="14331" max="14331" width="57.33203125" style="330" bestFit="1" customWidth="1"/>
    <col min="14332" max="14332" width="10.6640625" style="330" bestFit="1" customWidth="1"/>
    <col min="14333" max="14343" width="9.109375" style="330" customWidth="1"/>
    <col min="14344" max="14344" width="14.88671875" style="330" bestFit="1" customWidth="1"/>
    <col min="14345" max="14353" width="9.109375" style="330" customWidth="1"/>
    <col min="14354" max="14354" width="10.44140625" style="330" customWidth="1"/>
    <col min="14355" max="14586" width="8.88671875" style="330"/>
    <col min="14587" max="14587" width="57.33203125" style="330" bestFit="1" customWidth="1"/>
    <col min="14588" max="14588" width="10.6640625" style="330" bestFit="1" customWidth="1"/>
    <col min="14589" max="14599" width="9.109375" style="330" customWidth="1"/>
    <col min="14600" max="14600" width="14.88671875" style="330" bestFit="1" customWidth="1"/>
    <col min="14601" max="14609" width="9.109375" style="330" customWidth="1"/>
    <col min="14610" max="14610" width="10.44140625" style="330" customWidth="1"/>
    <col min="14611" max="14842" width="8.88671875" style="330"/>
    <col min="14843" max="14843" width="57.33203125" style="330" bestFit="1" customWidth="1"/>
    <col min="14844" max="14844" width="10.6640625" style="330" bestFit="1" customWidth="1"/>
    <col min="14845" max="14855" width="9.109375" style="330" customWidth="1"/>
    <col min="14856" max="14856" width="14.88671875" style="330" bestFit="1" customWidth="1"/>
    <col min="14857" max="14865" width="9.109375" style="330" customWidth="1"/>
    <col min="14866" max="14866" width="10.44140625" style="330" customWidth="1"/>
    <col min="14867" max="15098" width="8.88671875" style="330"/>
    <col min="15099" max="15099" width="57.33203125" style="330" bestFit="1" customWidth="1"/>
    <col min="15100" max="15100" width="10.6640625" style="330" bestFit="1" customWidth="1"/>
    <col min="15101" max="15111" width="9.109375" style="330" customWidth="1"/>
    <col min="15112" max="15112" width="14.88671875" style="330" bestFit="1" customWidth="1"/>
    <col min="15113" max="15121" width="9.109375" style="330" customWidth="1"/>
    <col min="15122" max="15122" width="10.44140625" style="330" customWidth="1"/>
    <col min="15123" max="15354" width="8.88671875" style="330"/>
    <col min="15355" max="15355" width="57.33203125" style="330" bestFit="1" customWidth="1"/>
    <col min="15356" max="15356" width="10.6640625" style="330" bestFit="1" customWidth="1"/>
    <col min="15357" max="15367" width="9.109375" style="330" customWidth="1"/>
    <col min="15368" max="15368" width="14.88671875" style="330" bestFit="1" customWidth="1"/>
    <col min="15369" max="15377" width="9.109375" style="330" customWidth="1"/>
    <col min="15378" max="15378" width="10.44140625" style="330" customWidth="1"/>
    <col min="15379" max="15610" width="8.88671875" style="330"/>
    <col min="15611" max="15611" width="57.33203125" style="330" bestFit="1" customWidth="1"/>
    <col min="15612" max="15612" width="10.6640625" style="330" bestFit="1" customWidth="1"/>
    <col min="15613" max="15623" width="9.109375" style="330" customWidth="1"/>
    <col min="15624" max="15624" width="14.88671875" style="330" bestFit="1" customWidth="1"/>
    <col min="15625" max="15633" width="9.109375" style="330" customWidth="1"/>
    <col min="15634" max="15634" width="10.44140625" style="330" customWidth="1"/>
    <col min="15635" max="15866" width="8.88671875" style="330"/>
    <col min="15867" max="15867" width="57.33203125" style="330" bestFit="1" customWidth="1"/>
    <col min="15868" max="15868" width="10.6640625" style="330" bestFit="1" customWidth="1"/>
    <col min="15869" max="15879" width="9.109375" style="330" customWidth="1"/>
    <col min="15880" max="15880" width="14.88671875" style="330" bestFit="1" customWidth="1"/>
    <col min="15881" max="15889" width="9.109375" style="330" customWidth="1"/>
    <col min="15890" max="15890" width="10.44140625" style="330" customWidth="1"/>
    <col min="15891" max="16122" width="8.88671875" style="330"/>
    <col min="16123" max="16123" width="57.33203125" style="330" bestFit="1" customWidth="1"/>
    <col min="16124" max="16124" width="10.6640625" style="330" bestFit="1" customWidth="1"/>
    <col min="16125" max="16135" width="9.109375" style="330" customWidth="1"/>
    <col min="16136" max="16136" width="14.88671875" style="330" bestFit="1" customWidth="1"/>
    <col min="16137" max="16145" width="9.109375" style="330" customWidth="1"/>
    <col min="16146" max="16146" width="10.44140625" style="330" customWidth="1"/>
    <col min="16147" max="16378" width="8.88671875" style="330"/>
    <col min="16379" max="16384" width="12.6640625" style="330" customWidth="1"/>
  </cols>
  <sheetData>
    <row r="1" spans="1:17" s="324" customFormat="1" ht="16.2">
      <c r="A1" s="624" t="s">
        <v>209</v>
      </c>
      <c r="B1" s="624"/>
      <c r="C1" s="625"/>
      <c r="D1" s="625"/>
      <c r="E1" s="625"/>
      <c r="F1" s="625"/>
      <c r="G1" s="625"/>
      <c r="H1" s="625"/>
      <c r="I1" s="625"/>
      <c r="J1" s="625"/>
      <c r="K1" s="625"/>
      <c r="L1" s="625"/>
      <c r="M1" s="625"/>
      <c r="N1" s="625"/>
      <c r="O1" s="625"/>
      <c r="Q1" s="325"/>
    </row>
    <row r="2" spans="1:17" s="324" customFormat="1" ht="15.6">
      <c r="A2" s="626" t="s">
        <v>211</v>
      </c>
      <c r="B2" s="626"/>
      <c r="C2" s="627"/>
      <c r="D2" s="627"/>
      <c r="E2" s="627"/>
      <c r="F2" s="627"/>
      <c r="G2" s="627"/>
      <c r="H2" s="627"/>
      <c r="I2" s="627"/>
      <c r="J2" s="627"/>
      <c r="K2" s="627"/>
      <c r="L2" s="627"/>
      <c r="M2" s="627"/>
      <c r="N2" s="627"/>
      <c r="O2" s="627"/>
      <c r="Q2" s="325"/>
    </row>
    <row r="3" spans="1:17" s="324" customFormat="1" ht="15.6">
      <c r="A3" s="628" t="s">
        <v>604</v>
      </c>
      <c r="B3" s="628"/>
      <c r="C3" s="629"/>
      <c r="D3" s="629"/>
      <c r="E3" s="629"/>
      <c r="F3" s="629"/>
      <c r="G3" s="629"/>
      <c r="H3" s="629"/>
      <c r="I3" s="629"/>
      <c r="J3" s="629"/>
      <c r="K3" s="629"/>
      <c r="L3" s="629"/>
      <c r="M3" s="629"/>
      <c r="N3" s="629"/>
      <c r="O3" s="629"/>
      <c r="Q3" s="325"/>
    </row>
    <row r="4" spans="1:17" s="324" customFormat="1">
      <c r="A4" s="326"/>
      <c r="B4" s="326"/>
      <c r="C4" s="322"/>
      <c r="D4" s="322"/>
      <c r="E4" s="322"/>
      <c r="F4" s="322"/>
      <c r="G4" s="322"/>
      <c r="H4" s="322"/>
      <c r="I4" s="322"/>
      <c r="J4" s="322"/>
      <c r="K4" s="322"/>
      <c r="L4" s="322"/>
      <c r="M4" s="322"/>
      <c r="N4" s="322"/>
      <c r="O4" s="319"/>
      <c r="Q4" s="325"/>
    </row>
    <row r="5" spans="1:17">
      <c r="A5" s="328"/>
      <c r="B5" s="328"/>
      <c r="C5" s="322"/>
      <c r="D5" s="322"/>
      <c r="E5" s="322"/>
      <c r="F5" s="322"/>
      <c r="G5" s="322"/>
      <c r="H5" s="322"/>
      <c r="I5" s="322"/>
      <c r="J5" s="322"/>
      <c r="K5" s="322"/>
      <c r="L5" s="322"/>
      <c r="M5" s="322"/>
      <c r="N5" s="322"/>
      <c r="O5" s="322"/>
    </row>
    <row r="6" spans="1:17" ht="15.6">
      <c r="A6" s="91"/>
      <c r="B6" s="91"/>
      <c r="C6" s="347"/>
      <c r="D6" s="347"/>
      <c r="E6" s="347"/>
      <c r="F6" s="347"/>
      <c r="G6" s="347"/>
      <c r="H6" s="347"/>
      <c r="I6" s="347"/>
      <c r="J6" s="347"/>
      <c r="K6" s="347"/>
      <c r="L6" s="347"/>
      <c r="M6" s="347"/>
      <c r="N6" s="347"/>
      <c r="O6" s="347" t="s">
        <v>563</v>
      </c>
    </row>
    <row r="7" spans="1:17" s="332" customFormat="1" ht="16.2" thickBot="1">
      <c r="A7" s="92"/>
      <c r="B7" s="92"/>
      <c r="C7" s="321" t="s">
        <v>528</v>
      </c>
      <c r="D7" s="321" t="s">
        <v>529</v>
      </c>
      <c r="E7" s="321" t="s">
        <v>530</v>
      </c>
      <c r="F7" s="321" t="s">
        <v>531</v>
      </c>
      <c r="G7" s="321" t="s">
        <v>532</v>
      </c>
      <c r="H7" s="321" t="s">
        <v>533</v>
      </c>
      <c r="I7" s="321" t="s">
        <v>534</v>
      </c>
      <c r="J7" s="321" t="s">
        <v>535</v>
      </c>
      <c r="K7" s="321" t="s">
        <v>536</v>
      </c>
      <c r="L7" s="321" t="s">
        <v>537</v>
      </c>
      <c r="M7" s="321" t="s">
        <v>538</v>
      </c>
      <c r="N7" s="321" t="s">
        <v>539</v>
      </c>
      <c r="O7" s="362" t="s">
        <v>605</v>
      </c>
      <c r="Q7" s="331"/>
    </row>
    <row r="8" spans="1:17" ht="16.2" thickTop="1">
      <c r="A8" s="91"/>
      <c r="B8" s="91"/>
      <c r="C8" s="85"/>
      <c r="D8" s="85"/>
      <c r="E8" s="85"/>
      <c r="F8" s="85"/>
      <c r="G8" s="85"/>
      <c r="H8" s="85"/>
      <c r="I8" s="85"/>
      <c r="J8" s="85"/>
      <c r="K8" s="85"/>
      <c r="L8" s="85"/>
      <c r="M8" s="85"/>
      <c r="N8" s="85"/>
      <c r="O8" s="85"/>
    </row>
    <row r="9" spans="1:17" ht="16.2" thickBot="1">
      <c r="A9" s="341" t="s">
        <v>212</v>
      </c>
      <c r="B9" s="352"/>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3" t="s">
        <v>208</v>
      </c>
      <c r="B11" s="363" t="s">
        <v>257</v>
      </c>
      <c r="C11" s="85"/>
      <c r="D11" s="85"/>
      <c r="E11" s="85"/>
      <c r="F11" s="85"/>
      <c r="G11" s="85"/>
      <c r="H11" s="85"/>
      <c r="I11" s="85"/>
      <c r="J11" s="85"/>
      <c r="K11" s="85"/>
      <c r="L11" s="85"/>
      <c r="M11" s="85"/>
      <c r="N11" s="85"/>
      <c r="O11" s="85"/>
    </row>
    <row r="12" spans="1:17" ht="15.6">
      <c r="A12" s="91"/>
      <c r="B12" s="91"/>
      <c r="C12" s="85"/>
      <c r="D12" s="85"/>
      <c r="E12" s="85"/>
      <c r="F12" s="85"/>
      <c r="G12" s="85"/>
      <c r="H12" s="85"/>
      <c r="I12" s="403"/>
      <c r="J12" s="403"/>
      <c r="K12" s="85"/>
      <c r="L12" s="85"/>
      <c r="M12" s="85"/>
      <c r="N12" s="85"/>
      <c r="O12" s="85"/>
    </row>
    <row r="13" spans="1:17" s="334" customFormat="1" ht="15.6">
      <c r="A13" s="399" t="s">
        <v>354</v>
      </c>
      <c r="B13" s="361" t="s">
        <v>24</v>
      </c>
      <c r="C13" s="103">
        <v>1988.65</v>
      </c>
      <c r="D13" s="103">
        <v>1856.73</v>
      </c>
      <c r="E13" s="103">
        <v>946.15</v>
      </c>
      <c r="F13" s="103">
        <v>423338.36</v>
      </c>
      <c r="G13" s="103"/>
      <c r="H13" s="103"/>
      <c r="I13" s="103"/>
      <c r="J13" s="103"/>
      <c r="K13" s="103"/>
      <c r="L13" s="103"/>
      <c r="M13" s="103"/>
      <c r="N13" s="103"/>
      <c r="O13" s="103">
        <f t="shared" ref="O13:O20" si="0">ROUND(SUM(C13:N13),0)</f>
        <v>428130</v>
      </c>
      <c r="P13" s="400"/>
      <c r="Q13" s="335"/>
    </row>
    <row r="14" spans="1:17" s="334" customFormat="1" ht="15.6">
      <c r="A14" s="399" t="s">
        <v>355</v>
      </c>
      <c r="B14" s="361" t="s">
        <v>370</v>
      </c>
      <c r="C14" s="103">
        <v>5890.42</v>
      </c>
      <c r="D14" s="103">
        <v>4111.45</v>
      </c>
      <c r="E14" s="103">
        <v>1581.91</v>
      </c>
      <c r="F14" s="103">
        <v>2578.58</v>
      </c>
      <c r="G14" s="103"/>
      <c r="H14" s="103"/>
      <c r="I14" s="103"/>
      <c r="J14" s="103"/>
      <c r="K14" s="103"/>
      <c r="L14" s="103"/>
      <c r="M14" s="103"/>
      <c r="N14" s="103"/>
      <c r="O14" s="103">
        <f t="shared" si="0"/>
        <v>14162</v>
      </c>
      <c r="P14" s="400"/>
      <c r="Q14" s="335"/>
    </row>
    <row r="15" spans="1:17" s="334" customFormat="1" ht="15.6">
      <c r="A15" s="420" t="s">
        <v>356</v>
      </c>
      <c r="B15" s="421" t="s">
        <v>23</v>
      </c>
      <c r="C15" s="103"/>
      <c r="D15" s="103"/>
      <c r="E15" s="103">
        <v>384</v>
      </c>
      <c r="F15" s="103">
        <v>249102.25</v>
      </c>
      <c r="G15" s="103"/>
      <c r="H15" s="103"/>
      <c r="I15" s="103"/>
      <c r="J15" s="103"/>
      <c r="K15" s="103"/>
      <c r="L15" s="103"/>
      <c r="M15" s="103"/>
      <c r="N15" s="103"/>
      <c r="O15" s="103">
        <f t="shared" si="0"/>
        <v>249486</v>
      </c>
      <c r="P15" s="400"/>
      <c r="Q15" s="335"/>
    </row>
    <row r="16" spans="1:17" s="334" customFormat="1" ht="15.6">
      <c r="A16" s="399" t="s">
        <v>357</v>
      </c>
      <c r="B16" s="361" t="s">
        <v>254</v>
      </c>
      <c r="C16" s="103">
        <v>616.24</v>
      </c>
      <c r="D16" s="103">
        <v>456.49</v>
      </c>
      <c r="E16" s="103">
        <v>575.66</v>
      </c>
      <c r="F16" s="103">
        <v>1088.7</v>
      </c>
      <c r="G16" s="103"/>
      <c r="H16" s="103"/>
      <c r="I16" s="103"/>
      <c r="J16" s="103"/>
      <c r="K16" s="103"/>
      <c r="L16" s="103"/>
      <c r="M16" s="103"/>
      <c r="N16" s="103"/>
      <c r="O16" s="103">
        <f t="shared" si="0"/>
        <v>2737</v>
      </c>
      <c r="P16" s="400"/>
      <c r="Q16" s="335"/>
    </row>
    <row r="17" spans="1:17" s="334" customFormat="1" ht="15.6">
      <c r="A17" s="399" t="s">
        <v>358</v>
      </c>
      <c r="B17" s="361" t="s">
        <v>438</v>
      </c>
      <c r="C17" s="103"/>
      <c r="D17" s="103"/>
      <c r="E17" s="103"/>
      <c r="F17" s="103"/>
      <c r="G17" s="103"/>
      <c r="H17" s="103"/>
      <c r="I17" s="103"/>
      <c r="J17" s="103"/>
      <c r="K17" s="103"/>
      <c r="L17" s="103"/>
      <c r="M17" s="103"/>
      <c r="N17" s="103"/>
      <c r="O17" s="103">
        <f t="shared" si="0"/>
        <v>0</v>
      </c>
      <c r="Q17" s="335"/>
    </row>
    <row r="18" spans="1:17" s="334" customFormat="1" ht="15.6">
      <c r="A18" s="420" t="s">
        <v>359</v>
      </c>
      <c r="B18" s="421" t="s">
        <v>361</v>
      </c>
      <c r="C18" s="103"/>
      <c r="D18" s="103"/>
      <c r="E18" s="103"/>
      <c r="F18" s="103"/>
      <c r="G18" s="103"/>
      <c r="H18" s="103"/>
      <c r="I18" s="103"/>
      <c r="J18" s="103"/>
      <c r="K18" s="103"/>
      <c r="L18" s="103"/>
      <c r="M18" s="103"/>
      <c r="N18" s="103"/>
      <c r="O18" s="103">
        <f t="shared" si="0"/>
        <v>0</v>
      </c>
      <c r="Q18" s="335"/>
    </row>
    <row r="19" spans="1:17" s="334" customFormat="1" ht="15.6">
      <c r="A19" s="102" t="s">
        <v>389</v>
      </c>
      <c r="B19" s="361" t="s">
        <v>388</v>
      </c>
      <c r="C19" s="103">
        <v>0</v>
      </c>
      <c r="D19" s="103"/>
      <c r="E19" s="103"/>
      <c r="F19" s="103"/>
      <c r="G19" s="103"/>
      <c r="H19" s="103"/>
      <c r="I19" s="103"/>
      <c r="J19" s="103"/>
      <c r="K19" s="103"/>
      <c r="L19" s="103"/>
      <c r="M19" s="103"/>
      <c r="N19" s="103"/>
      <c r="O19" s="103">
        <f t="shared" si="0"/>
        <v>0</v>
      </c>
      <c r="Q19" s="335"/>
    </row>
    <row r="20" spans="1:17" ht="15.6">
      <c r="A20" s="364" t="s">
        <v>207</v>
      </c>
      <c r="B20" s="364"/>
      <c r="C20" s="88">
        <f t="shared" ref="C20:M20" si="1">SUM(C13:C19)</f>
        <v>8495.31</v>
      </c>
      <c r="D20" s="88">
        <f t="shared" si="1"/>
        <v>6424.67</v>
      </c>
      <c r="E20" s="88">
        <f t="shared" si="1"/>
        <v>3487.72</v>
      </c>
      <c r="F20" s="88">
        <f t="shared" si="1"/>
        <v>676107.8899999999</v>
      </c>
      <c r="G20" s="88">
        <f t="shared" si="1"/>
        <v>0</v>
      </c>
      <c r="H20" s="88">
        <f t="shared" si="1"/>
        <v>0</v>
      </c>
      <c r="I20" s="88">
        <f t="shared" si="1"/>
        <v>0</v>
      </c>
      <c r="J20" s="88">
        <f t="shared" si="1"/>
        <v>0</v>
      </c>
      <c r="K20" s="88">
        <f t="shared" si="1"/>
        <v>0</v>
      </c>
      <c r="L20" s="88">
        <f t="shared" si="1"/>
        <v>0</v>
      </c>
      <c r="M20" s="88">
        <f t="shared" si="1"/>
        <v>0</v>
      </c>
      <c r="N20" s="88">
        <f>SUM(N13:N19)</f>
        <v>0</v>
      </c>
      <c r="O20" s="88">
        <f t="shared" si="0"/>
        <v>694516</v>
      </c>
    </row>
    <row r="21" spans="1:17" ht="15.6">
      <c r="A21" s="91"/>
      <c r="B21" s="91"/>
      <c r="C21" s="85"/>
      <c r="D21" s="85"/>
      <c r="E21" s="85"/>
      <c r="F21" s="85"/>
      <c r="G21" s="85"/>
      <c r="H21" s="85"/>
      <c r="I21" s="85"/>
      <c r="J21" s="85"/>
      <c r="K21" s="85"/>
      <c r="L21" s="85"/>
      <c r="M21" s="85"/>
      <c r="N21" s="85"/>
      <c r="O21" s="85"/>
    </row>
    <row r="22" spans="1:17" ht="15.6">
      <c r="A22" s="363" t="s">
        <v>206</v>
      </c>
      <c r="B22" s="363"/>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0</v>
      </c>
      <c r="H24" s="85">
        <f t="shared" si="2"/>
        <v>0</v>
      </c>
      <c r="I24" s="85">
        <f t="shared" si="2"/>
        <v>0</v>
      </c>
      <c r="J24" s="85">
        <f t="shared" si="2"/>
        <v>0</v>
      </c>
      <c r="K24" s="85">
        <f t="shared" si="2"/>
        <v>0</v>
      </c>
      <c r="L24" s="85">
        <f t="shared" si="2"/>
        <v>0</v>
      </c>
      <c r="M24" s="85">
        <f t="shared" si="2"/>
        <v>0</v>
      </c>
      <c r="N24" s="85">
        <f>-N20</f>
        <v>0</v>
      </c>
      <c r="O24" s="90">
        <f>ROUND(SUM(C24:N24),0)</f>
        <v>-694516</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3" t="s">
        <v>205</v>
      </c>
      <c r="B27" s="363"/>
      <c r="C27" s="88">
        <f>ROUND(SUM(C23:C26),0)</f>
        <v>-8495</v>
      </c>
      <c r="D27" s="88">
        <f>ROUND(SUM(D23:D26),0)</f>
        <v>-6425</v>
      </c>
      <c r="E27" s="88">
        <f t="shared" ref="E27:L27" si="3">ROUND(SUM(E23:E26),0)</f>
        <v>-3488</v>
      </c>
      <c r="F27" s="88">
        <f t="shared" si="3"/>
        <v>-676108</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-694516</v>
      </c>
    </row>
    <row r="28" spans="1:17" ht="15.6">
      <c r="A28" s="91"/>
      <c r="B28" s="91"/>
      <c r="C28" s="85"/>
      <c r="D28" s="85"/>
      <c r="E28" s="85"/>
      <c r="F28" s="85"/>
      <c r="G28" s="85"/>
      <c r="H28" s="85"/>
      <c r="I28" s="85"/>
      <c r="J28" s="85"/>
      <c r="K28" s="85"/>
      <c r="L28" s="85"/>
      <c r="M28" s="85"/>
      <c r="N28" s="85"/>
      <c r="O28" s="85"/>
    </row>
    <row r="29" spans="1:17" ht="16.2" thickBot="1">
      <c r="A29" s="341" t="s">
        <v>204</v>
      </c>
      <c r="B29" s="341"/>
      <c r="C29" s="344">
        <f>ROUND(+C9+C20+C27,0)</f>
        <v>0</v>
      </c>
      <c r="D29" s="344"/>
      <c r="E29" s="344"/>
      <c r="F29" s="344"/>
      <c r="G29" s="344"/>
      <c r="H29" s="344"/>
      <c r="I29" s="344"/>
      <c r="J29" s="344"/>
      <c r="K29" s="344"/>
      <c r="L29" s="344"/>
      <c r="M29" s="344"/>
      <c r="N29" s="344"/>
      <c r="O29" s="344">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3"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O7" sqref="O7"/>
    </sheetView>
  </sheetViews>
  <sheetFormatPr defaultRowHeight="13.2"/>
  <cols>
    <col min="1" max="1" width="47" style="337" bestFit="1" customWidth="1"/>
    <col min="2" max="2" width="17.109375" style="337" bestFit="1" customWidth="1"/>
    <col min="3" max="3" width="11.33203125" style="323" hidden="1" customWidth="1"/>
    <col min="4" max="4" width="11.44140625" style="323" hidden="1" customWidth="1"/>
    <col min="5" max="5" width="11.6640625" style="323" hidden="1" customWidth="1"/>
    <col min="6" max="6" width="11.6640625" style="323" customWidth="1"/>
    <col min="7" max="7" width="11.33203125" style="323" hidden="1" customWidth="1"/>
    <col min="8" max="8" width="11.6640625" style="323" hidden="1" customWidth="1"/>
    <col min="9" max="9" width="12.109375" style="323" hidden="1" customWidth="1"/>
    <col min="10" max="10" width="11.6640625" style="323" hidden="1" customWidth="1"/>
    <col min="11" max="11" width="12.109375" style="323" hidden="1" customWidth="1"/>
    <col min="12" max="12" width="11.44140625" style="323" hidden="1" customWidth="1"/>
    <col min="13" max="13" width="11.109375" style="323" hidden="1" customWidth="1"/>
    <col min="14" max="14" width="11.6640625" style="323" hidden="1" customWidth="1"/>
    <col min="15" max="15" width="16.109375" style="323" bestFit="1" customWidth="1"/>
    <col min="16" max="19" width="22.33203125" style="337" customWidth="1"/>
    <col min="20" max="21" width="12.6640625" style="337" customWidth="1"/>
    <col min="22" max="22" width="13.33203125" style="337" customWidth="1"/>
    <col min="23" max="254" width="8.88671875" style="337"/>
    <col min="255" max="255" width="46.33203125" style="337" bestFit="1" customWidth="1"/>
    <col min="256" max="256" width="9.6640625" style="337" bestFit="1" customWidth="1"/>
    <col min="257" max="267" width="9.109375" style="337" customWidth="1"/>
    <col min="268" max="268" width="17.44140625" style="337" customWidth="1"/>
    <col min="269" max="277" width="9.109375" style="337" customWidth="1"/>
    <col min="278" max="510" width="8.88671875" style="337"/>
    <col min="511" max="511" width="46.33203125" style="337" bestFit="1" customWidth="1"/>
    <col min="512" max="512" width="9.6640625" style="337" bestFit="1" customWidth="1"/>
    <col min="513" max="523" width="9.109375" style="337" customWidth="1"/>
    <col min="524" max="524" width="17.44140625" style="337" customWidth="1"/>
    <col min="525" max="533" width="9.109375" style="337" customWidth="1"/>
    <col min="534" max="766" width="8.88671875" style="337"/>
    <col min="767" max="767" width="46.33203125" style="337" bestFit="1" customWidth="1"/>
    <col min="768" max="768" width="9.6640625" style="337" bestFit="1" customWidth="1"/>
    <col min="769" max="779" width="9.109375" style="337" customWidth="1"/>
    <col min="780" max="780" width="17.44140625" style="337" customWidth="1"/>
    <col min="781" max="789" width="9.109375" style="337" customWidth="1"/>
    <col min="790" max="1022" width="8.88671875" style="337"/>
    <col min="1023" max="1023" width="46.33203125" style="337" bestFit="1" customWidth="1"/>
    <col min="1024" max="1024" width="9.6640625" style="337" bestFit="1" customWidth="1"/>
    <col min="1025" max="1035" width="9.109375" style="337" customWidth="1"/>
    <col min="1036" max="1036" width="17.44140625" style="337" customWidth="1"/>
    <col min="1037" max="1045" width="9.109375" style="337" customWidth="1"/>
    <col min="1046" max="1278" width="8.88671875" style="337"/>
    <col min="1279" max="1279" width="46.33203125" style="337" bestFit="1" customWidth="1"/>
    <col min="1280" max="1280" width="9.6640625" style="337" bestFit="1" customWidth="1"/>
    <col min="1281" max="1291" width="9.109375" style="337" customWidth="1"/>
    <col min="1292" max="1292" width="17.44140625" style="337" customWidth="1"/>
    <col min="1293" max="1301" width="9.109375" style="337" customWidth="1"/>
    <col min="1302" max="1534" width="8.88671875" style="337"/>
    <col min="1535" max="1535" width="46.33203125" style="337" bestFit="1" customWidth="1"/>
    <col min="1536" max="1536" width="9.6640625" style="337" bestFit="1" customWidth="1"/>
    <col min="1537" max="1547" width="9.109375" style="337" customWidth="1"/>
    <col min="1548" max="1548" width="17.44140625" style="337" customWidth="1"/>
    <col min="1549" max="1557" width="9.109375" style="337" customWidth="1"/>
    <col min="1558" max="1790" width="8.88671875" style="337"/>
    <col min="1791" max="1791" width="46.33203125" style="337" bestFit="1" customWidth="1"/>
    <col min="1792" max="1792" width="9.6640625" style="337" bestFit="1" customWidth="1"/>
    <col min="1793" max="1803" width="9.109375" style="337" customWidth="1"/>
    <col min="1804" max="1804" width="17.44140625" style="337" customWidth="1"/>
    <col min="1805" max="1813" width="9.109375" style="337" customWidth="1"/>
    <col min="1814" max="2046" width="8.88671875" style="337"/>
    <col min="2047" max="2047" width="46.33203125" style="337" bestFit="1" customWidth="1"/>
    <col min="2048" max="2048" width="9.6640625" style="337" bestFit="1" customWidth="1"/>
    <col min="2049" max="2059" width="9.109375" style="337" customWidth="1"/>
    <col min="2060" max="2060" width="17.44140625" style="337" customWidth="1"/>
    <col min="2061" max="2069" width="9.109375" style="337" customWidth="1"/>
    <col min="2070" max="2302" width="8.88671875" style="337"/>
    <col min="2303" max="2303" width="46.33203125" style="337" bestFit="1" customWidth="1"/>
    <col min="2304" max="2304" width="9.6640625" style="337" bestFit="1" customWidth="1"/>
    <col min="2305" max="2315" width="9.109375" style="337" customWidth="1"/>
    <col min="2316" max="2316" width="17.44140625" style="337" customWidth="1"/>
    <col min="2317" max="2325" width="9.109375" style="337" customWidth="1"/>
    <col min="2326" max="2558" width="8.88671875" style="337"/>
    <col min="2559" max="2559" width="46.33203125" style="337" bestFit="1" customWidth="1"/>
    <col min="2560" max="2560" width="9.6640625" style="337" bestFit="1" customWidth="1"/>
    <col min="2561" max="2571" width="9.109375" style="337" customWidth="1"/>
    <col min="2572" max="2572" width="17.44140625" style="337" customWidth="1"/>
    <col min="2573" max="2581" width="9.109375" style="337" customWidth="1"/>
    <col min="2582" max="2814" width="8.88671875" style="337"/>
    <col min="2815" max="2815" width="46.33203125" style="337" bestFit="1" customWidth="1"/>
    <col min="2816" max="2816" width="9.6640625" style="337" bestFit="1" customWidth="1"/>
    <col min="2817" max="2827" width="9.109375" style="337" customWidth="1"/>
    <col min="2828" max="2828" width="17.44140625" style="337" customWidth="1"/>
    <col min="2829" max="2837" width="9.109375" style="337" customWidth="1"/>
    <col min="2838" max="3070" width="8.88671875" style="337"/>
    <col min="3071" max="3071" width="46.33203125" style="337" bestFit="1" customWidth="1"/>
    <col min="3072" max="3072" width="9.6640625" style="337" bestFit="1" customWidth="1"/>
    <col min="3073" max="3083" width="9.109375" style="337" customWidth="1"/>
    <col min="3084" max="3084" width="17.44140625" style="337" customWidth="1"/>
    <col min="3085" max="3093" width="9.109375" style="337" customWidth="1"/>
    <col min="3094" max="3326" width="8.88671875" style="337"/>
    <col min="3327" max="3327" width="46.33203125" style="337" bestFit="1" customWidth="1"/>
    <col min="3328" max="3328" width="9.6640625" style="337" bestFit="1" customWidth="1"/>
    <col min="3329" max="3339" width="9.109375" style="337" customWidth="1"/>
    <col min="3340" max="3340" width="17.44140625" style="337" customWidth="1"/>
    <col min="3341" max="3349" width="9.109375" style="337" customWidth="1"/>
    <col min="3350" max="3582" width="8.88671875" style="337"/>
    <col min="3583" max="3583" width="46.33203125" style="337" bestFit="1" customWidth="1"/>
    <col min="3584" max="3584" width="9.6640625" style="337" bestFit="1" customWidth="1"/>
    <col min="3585" max="3595" width="9.109375" style="337" customWidth="1"/>
    <col min="3596" max="3596" width="17.44140625" style="337" customWidth="1"/>
    <col min="3597" max="3605" width="9.109375" style="337" customWidth="1"/>
    <col min="3606" max="3838" width="8.88671875" style="337"/>
    <col min="3839" max="3839" width="46.33203125" style="337" bestFit="1" customWidth="1"/>
    <col min="3840" max="3840" width="9.6640625" style="337" bestFit="1" customWidth="1"/>
    <col min="3841" max="3851" width="9.109375" style="337" customWidth="1"/>
    <col min="3852" max="3852" width="17.44140625" style="337" customWidth="1"/>
    <col min="3853" max="3861" width="9.109375" style="337" customWidth="1"/>
    <col min="3862" max="4094" width="8.88671875" style="337"/>
    <col min="4095" max="4095" width="46.33203125" style="337" bestFit="1" customWidth="1"/>
    <col min="4096" max="4096" width="9.6640625" style="337" bestFit="1" customWidth="1"/>
    <col min="4097" max="4107" width="9.109375" style="337" customWidth="1"/>
    <col min="4108" max="4108" width="17.44140625" style="337" customWidth="1"/>
    <col min="4109" max="4117" width="9.109375" style="337" customWidth="1"/>
    <col min="4118" max="4350" width="8.88671875" style="337"/>
    <col min="4351" max="4351" width="46.33203125" style="337" bestFit="1" customWidth="1"/>
    <col min="4352" max="4352" width="9.6640625" style="337" bestFit="1" customWidth="1"/>
    <col min="4353" max="4363" width="9.109375" style="337" customWidth="1"/>
    <col min="4364" max="4364" width="17.44140625" style="337" customWidth="1"/>
    <col min="4365" max="4373" width="9.109375" style="337" customWidth="1"/>
    <col min="4374" max="4606" width="8.88671875" style="337"/>
    <col min="4607" max="4607" width="46.33203125" style="337" bestFit="1" customWidth="1"/>
    <col min="4608" max="4608" width="9.6640625" style="337" bestFit="1" customWidth="1"/>
    <col min="4609" max="4619" width="9.109375" style="337" customWidth="1"/>
    <col min="4620" max="4620" width="17.44140625" style="337" customWidth="1"/>
    <col min="4621" max="4629" width="9.109375" style="337" customWidth="1"/>
    <col min="4630" max="4862" width="8.88671875" style="337"/>
    <col min="4863" max="4863" width="46.33203125" style="337" bestFit="1" customWidth="1"/>
    <col min="4864" max="4864" width="9.6640625" style="337" bestFit="1" customWidth="1"/>
    <col min="4865" max="4875" width="9.109375" style="337" customWidth="1"/>
    <col min="4876" max="4876" width="17.44140625" style="337" customWidth="1"/>
    <col min="4877" max="4885" width="9.109375" style="337" customWidth="1"/>
    <col min="4886" max="5118" width="8.88671875" style="337"/>
    <col min="5119" max="5119" width="46.33203125" style="337" bestFit="1" customWidth="1"/>
    <col min="5120" max="5120" width="9.6640625" style="337" bestFit="1" customWidth="1"/>
    <col min="5121" max="5131" width="9.109375" style="337" customWidth="1"/>
    <col min="5132" max="5132" width="17.44140625" style="337" customWidth="1"/>
    <col min="5133" max="5141" width="9.109375" style="337" customWidth="1"/>
    <col min="5142" max="5374" width="8.88671875" style="337"/>
    <col min="5375" max="5375" width="46.33203125" style="337" bestFit="1" customWidth="1"/>
    <col min="5376" max="5376" width="9.6640625" style="337" bestFit="1" customWidth="1"/>
    <col min="5377" max="5387" width="9.109375" style="337" customWidth="1"/>
    <col min="5388" max="5388" width="17.44140625" style="337" customWidth="1"/>
    <col min="5389" max="5397" width="9.109375" style="337" customWidth="1"/>
    <col min="5398" max="5630" width="8.88671875" style="337"/>
    <col min="5631" max="5631" width="46.33203125" style="337" bestFit="1" customWidth="1"/>
    <col min="5632" max="5632" width="9.6640625" style="337" bestFit="1" customWidth="1"/>
    <col min="5633" max="5643" width="9.109375" style="337" customWidth="1"/>
    <col min="5644" max="5644" width="17.44140625" style="337" customWidth="1"/>
    <col min="5645" max="5653" width="9.109375" style="337" customWidth="1"/>
    <col min="5654" max="5886" width="8.88671875" style="337"/>
    <col min="5887" max="5887" width="46.33203125" style="337" bestFit="1" customWidth="1"/>
    <col min="5888" max="5888" width="9.6640625" style="337" bestFit="1" customWidth="1"/>
    <col min="5889" max="5899" width="9.109375" style="337" customWidth="1"/>
    <col min="5900" max="5900" width="17.44140625" style="337" customWidth="1"/>
    <col min="5901" max="5909" width="9.109375" style="337" customWidth="1"/>
    <col min="5910" max="6142" width="8.88671875" style="337"/>
    <col min="6143" max="6143" width="46.33203125" style="337" bestFit="1" customWidth="1"/>
    <col min="6144" max="6144" width="9.6640625" style="337" bestFit="1" customWidth="1"/>
    <col min="6145" max="6155" width="9.109375" style="337" customWidth="1"/>
    <col min="6156" max="6156" width="17.44140625" style="337" customWidth="1"/>
    <col min="6157" max="6165" width="9.109375" style="337" customWidth="1"/>
    <col min="6166" max="6398" width="8.88671875" style="337"/>
    <col min="6399" max="6399" width="46.33203125" style="337" bestFit="1" customWidth="1"/>
    <col min="6400" max="6400" width="9.6640625" style="337" bestFit="1" customWidth="1"/>
    <col min="6401" max="6411" width="9.109375" style="337" customWidth="1"/>
    <col min="6412" max="6412" width="17.44140625" style="337" customWidth="1"/>
    <col min="6413" max="6421" width="9.109375" style="337" customWidth="1"/>
    <col min="6422" max="6654" width="8.88671875" style="337"/>
    <col min="6655" max="6655" width="46.33203125" style="337" bestFit="1" customWidth="1"/>
    <col min="6656" max="6656" width="9.6640625" style="337" bestFit="1" customWidth="1"/>
    <col min="6657" max="6667" width="9.109375" style="337" customWidth="1"/>
    <col min="6668" max="6668" width="17.44140625" style="337" customWidth="1"/>
    <col min="6669" max="6677" width="9.109375" style="337" customWidth="1"/>
    <col min="6678" max="6910" width="8.88671875" style="337"/>
    <col min="6911" max="6911" width="46.33203125" style="337" bestFit="1" customWidth="1"/>
    <col min="6912" max="6912" width="9.6640625" style="337" bestFit="1" customWidth="1"/>
    <col min="6913" max="6923" width="9.109375" style="337" customWidth="1"/>
    <col min="6924" max="6924" width="17.44140625" style="337" customWidth="1"/>
    <col min="6925" max="6933" width="9.109375" style="337" customWidth="1"/>
    <col min="6934" max="7166" width="8.88671875" style="337"/>
    <col min="7167" max="7167" width="46.33203125" style="337" bestFit="1" customWidth="1"/>
    <col min="7168" max="7168" width="9.6640625" style="337" bestFit="1" customWidth="1"/>
    <col min="7169" max="7179" width="9.109375" style="337" customWidth="1"/>
    <col min="7180" max="7180" width="17.44140625" style="337" customWidth="1"/>
    <col min="7181" max="7189" width="9.109375" style="337" customWidth="1"/>
    <col min="7190" max="7422" width="8.88671875" style="337"/>
    <col min="7423" max="7423" width="46.33203125" style="337" bestFit="1" customWidth="1"/>
    <col min="7424" max="7424" width="9.6640625" style="337" bestFit="1" customWidth="1"/>
    <col min="7425" max="7435" width="9.109375" style="337" customWidth="1"/>
    <col min="7436" max="7436" width="17.44140625" style="337" customWidth="1"/>
    <col min="7437" max="7445" width="9.109375" style="337" customWidth="1"/>
    <col min="7446" max="7678" width="8.88671875" style="337"/>
    <col min="7679" max="7679" width="46.33203125" style="337" bestFit="1" customWidth="1"/>
    <col min="7680" max="7680" width="9.6640625" style="337" bestFit="1" customWidth="1"/>
    <col min="7681" max="7691" width="9.109375" style="337" customWidth="1"/>
    <col min="7692" max="7692" width="17.44140625" style="337" customWidth="1"/>
    <col min="7693" max="7701" width="9.109375" style="337" customWidth="1"/>
    <col min="7702" max="7934" width="8.88671875" style="337"/>
    <col min="7935" max="7935" width="46.33203125" style="337" bestFit="1" customWidth="1"/>
    <col min="7936" max="7936" width="9.6640625" style="337" bestFit="1" customWidth="1"/>
    <col min="7937" max="7947" width="9.109375" style="337" customWidth="1"/>
    <col min="7948" max="7948" width="17.44140625" style="337" customWidth="1"/>
    <col min="7949" max="7957" width="9.109375" style="337" customWidth="1"/>
    <col min="7958" max="8190" width="8.88671875" style="337"/>
    <col min="8191" max="8191" width="46.33203125" style="337" bestFit="1" customWidth="1"/>
    <col min="8192" max="8192" width="9.6640625" style="337" bestFit="1" customWidth="1"/>
    <col min="8193" max="8203" width="9.109375" style="337" customWidth="1"/>
    <col min="8204" max="8204" width="17.44140625" style="337" customWidth="1"/>
    <col min="8205" max="8213" width="9.109375" style="337" customWidth="1"/>
    <col min="8214" max="8446" width="8.88671875" style="337"/>
    <col min="8447" max="8447" width="46.33203125" style="337" bestFit="1" customWidth="1"/>
    <col min="8448" max="8448" width="9.6640625" style="337" bestFit="1" customWidth="1"/>
    <col min="8449" max="8459" width="9.109375" style="337" customWidth="1"/>
    <col min="8460" max="8460" width="17.44140625" style="337" customWidth="1"/>
    <col min="8461" max="8469" width="9.109375" style="337" customWidth="1"/>
    <col min="8470" max="8702" width="8.88671875" style="337"/>
    <col min="8703" max="8703" width="46.33203125" style="337" bestFit="1" customWidth="1"/>
    <col min="8704" max="8704" width="9.6640625" style="337" bestFit="1" customWidth="1"/>
    <col min="8705" max="8715" width="9.109375" style="337" customWidth="1"/>
    <col min="8716" max="8716" width="17.44140625" style="337" customWidth="1"/>
    <col min="8717" max="8725" width="9.109375" style="337" customWidth="1"/>
    <col min="8726" max="8958" width="8.88671875" style="337"/>
    <col min="8959" max="8959" width="46.33203125" style="337" bestFit="1" customWidth="1"/>
    <col min="8960" max="8960" width="9.6640625" style="337" bestFit="1" customWidth="1"/>
    <col min="8961" max="8971" width="9.109375" style="337" customWidth="1"/>
    <col min="8972" max="8972" width="17.44140625" style="337" customWidth="1"/>
    <col min="8973" max="8981" width="9.109375" style="337" customWidth="1"/>
    <col min="8982" max="9214" width="8.88671875" style="337"/>
    <col min="9215" max="9215" width="46.33203125" style="337" bestFit="1" customWidth="1"/>
    <col min="9216" max="9216" width="9.6640625" style="337" bestFit="1" customWidth="1"/>
    <col min="9217" max="9227" width="9.109375" style="337" customWidth="1"/>
    <col min="9228" max="9228" width="17.44140625" style="337" customWidth="1"/>
    <col min="9229" max="9237" width="9.109375" style="337" customWidth="1"/>
    <col min="9238" max="9470" width="8.88671875" style="337"/>
    <col min="9471" max="9471" width="46.33203125" style="337" bestFit="1" customWidth="1"/>
    <col min="9472" max="9472" width="9.6640625" style="337" bestFit="1" customWidth="1"/>
    <col min="9473" max="9483" width="9.109375" style="337" customWidth="1"/>
    <col min="9484" max="9484" width="17.44140625" style="337" customWidth="1"/>
    <col min="9485" max="9493" width="9.109375" style="337" customWidth="1"/>
    <col min="9494" max="9726" width="8.88671875" style="337"/>
    <col min="9727" max="9727" width="46.33203125" style="337" bestFit="1" customWidth="1"/>
    <col min="9728" max="9728" width="9.6640625" style="337" bestFit="1" customWidth="1"/>
    <col min="9729" max="9739" width="9.109375" style="337" customWidth="1"/>
    <col min="9740" max="9740" width="17.44140625" style="337" customWidth="1"/>
    <col min="9741" max="9749" width="9.109375" style="337" customWidth="1"/>
    <col min="9750" max="9982" width="8.88671875" style="337"/>
    <col min="9983" max="9983" width="46.33203125" style="337" bestFit="1" customWidth="1"/>
    <col min="9984" max="9984" width="9.6640625" style="337" bestFit="1" customWidth="1"/>
    <col min="9985" max="9995" width="9.109375" style="337" customWidth="1"/>
    <col min="9996" max="9996" width="17.44140625" style="337" customWidth="1"/>
    <col min="9997" max="10005" width="9.109375" style="337" customWidth="1"/>
    <col min="10006" max="10238" width="8.88671875" style="337"/>
    <col min="10239" max="10239" width="46.33203125" style="337" bestFit="1" customWidth="1"/>
    <col min="10240" max="10240" width="9.6640625" style="337" bestFit="1" customWidth="1"/>
    <col min="10241" max="10251" width="9.109375" style="337" customWidth="1"/>
    <col min="10252" max="10252" width="17.44140625" style="337" customWidth="1"/>
    <col min="10253" max="10261" width="9.109375" style="337" customWidth="1"/>
    <col min="10262" max="10494" width="8.88671875" style="337"/>
    <col min="10495" max="10495" width="46.33203125" style="337" bestFit="1" customWidth="1"/>
    <col min="10496" max="10496" width="9.6640625" style="337" bestFit="1" customWidth="1"/>
    <col min="10497" max="10507" width="9.109375" style="337" customWidth="1"/>
    <col min="10508" max="10508" width="17.44140625" style="337" customWidth="1"/>
    <col min="10509" max="10517" width="9.109375" style="337" customWidth="1"/>
    <col min="10518" max="10750" width="8.88671875" style="337"/>
    <col min="10751" max="10751" width="46.33203125" style="337" bestFit="1" customWidth="1"/>
    <col min="10752" max="10752" width="9.6640625" style="337" bestFit="1" customWidth="1"/>
    <col min="10753" max="10763" width="9.109375" style="337" customWidth="1"/>
    <col min="10764" max="10764" width="17.44140625" style="337" customWidth="1"/>
    <col min="10765" max="10773" width="9.109375" style="337" customWidth="1"/>
    <col min="10774" max="11006" width="8.88671875" style="337"/>
    <col min="11007" max="11007" width="46.33203125" style="337" bestFit="1" customWidth="1"/>
    <col min="11008" max="11008" width="9.6640625" style="337" bestFit="1" customWidth="1"/>
    <col min="11009" max="11019" width="9.109375" style="337" customWidth="1"/>
    <col min="11020" max="11020" width="17.44140625" style="337" customWidth="1"/>
    <col min="11021" max="11029" width="9.109375" style="337" customWidth="1"/>
    <col min="11030" max="11262" width="8.88671875" style="337"/>
    <col min="11263" max="11263" width="46.33203125" style="337" bestFit="1" customWidth="1"/>
    <col min="11264" max="11264" width="9.6640625" style="337" bestFit="1" customWidth="1"/>
    <col min="11265" max="11275" width="9.109375" style="337" customWidth="1"/>
    <col min="11276" max="11276" width="17.44140625" style="337" customWidth="1"/>
    <col min="11277" max="11285" width="9.109375" style="337" customWidth="1"/>
    <col min="11286" max="11518" width="8.88671875" style="337"/>
    <col min="11519" max="11519" width="46.33203125" style="337" bestFit="1" customWidth="1"/>
    <col min="11520" max="11520" width="9.6640625" style="337" bestFit="1" customWidth="1"/>
    <col min="11521" max="11531" width="9.109375" style="337" customWidth="1"/>
    <col min="11532" max="11532" width="17.44140625" style="337" customWidth="1"/>
    <col min="11533" max="11541" width="9.109375" style="337" customWidth="1"/>
    <col min="11542" max="11774" width="8.88671875" style="337"/>
    <col min="11775" max="11775" width="46.33203125" style="337" bestFit="1" customWidth="1"/>
    <col min="11776" max="11776" width="9.6640625" style="337" bestFit="1" customWidth="1"/>
    <col min="11777" max="11787" width="9.109375" style="337" customWidth="1"/>
    <col min="11788" max="11788" width="17.44140625" style="337" customWidth="1"/>
    <col min="11789" max="11797" width="9.109375" style="337" customWidth="1"/>
    <col min="11798" max="12030" width="8.88671875" style="337"/>
    <col min="12031" max="12031" width="46.33203125" style="337" bestFit="1" customWidth="1"/>
    <col min="12032" max="12032" width="9.6640625" style="337" bestFit="1" customWidth="1"/>
    <col min="12033" max="12043" width="9.109375" style="337" customWidth="1"/>
    <col min="12044" max="12044" width="17.44140625" style="337" customWidth="1"/>
    <col min="12045" max="12053" width="9.109375" style="337" customWidth="1"/>
    <col min="12054" max="12286" width="8.88671875" style="337"/>
    <col min="12287" max="12287" width="46.33203125" style="337" bestFit="1" customWidth="1"/>
    <col min="12288" max="12288" width="9.6640625" style="337" bestFit="1" customWidth="1"/>
    <col min="12289" max="12299" width="9.109375" style="337" customWidth="1"/>
    <col min="12300" max="12300" width="17.44140625" style="337" customWidth="1"/>
    <col min="12301" max="12309" width="9.109375" style="337" customWidth="1"/>
    <col min="12310" max="12542" width="8.88671875" style="337"/>
    <col min="12543" max="12543" width="46.33203125" style="337" bestFit="1" customWidth="1"/>
    <col min="12544" max="12544" width="9.6640625" style="337" bestFit="1" customWidth="1"/>
    <col min="12545" max="12555" width="9.109375" style="337" customWidth="1"/>
    <col min="12556" max="12556" width="17.44140625" style="337" customWidth="1"/>
    <col min="12557" max="12565" width="9.109375" style="337" customWidth="1"/>
    <col min="12566" max="12798" width="8.88671875" style="337"/>
    <col min="12799" max="12799" width="46.33203125" style="337" bestFit="1" customWidth="1"/>
    <col min="12800" max="12800" width="9.6640625" style="337" bestFit="1" customWidth="1"/>
    <col min="12801" max="12811" width="9.109375" style="337" customWidth="1"/>
    <col min="12812" max="12812" width="17.44140625" style="337" customWidth="1"/>
    <col min="12813" max="12821" width="9.109375" style="337" customWidth="1"/>
    <col min="12822" max="13054" width="8.88671875" style="337"/>
    <col min="13055" max="13055" width="46.33203125" style="337" bestFit="1" customWidth="1"/>
    <col min="13056" max="13056" width="9.6640625" style="337" bestFit="1" customWidth="1"/>
    <col min="13057" max="13067" width="9.109375" style="337" customWidth="1"/>
    <col min="13068" max="13068" width="17.44140625" style="337" customWidth="1"/>
    <col min="13069" max="13077" width="9.109375" style="337" customWidth="1"/>
    <col min="13078" max="13310" width="8.88671875" style="337"/>
    <col min="13311" max="13311" width="46.33203125" style="337" bestFit="1" customWidth="1"/>
    <col min="13312" max="13312" width="9.6640625" style="337" bestFit="1" customWidth="1"/>
    <col min="13313" max="13323" width="9.109375" style="337" customWidth="1"/>
    <col min="13324" max="13324" width="17.44140625" style="337" customWidth="1"/>
    <col min="13325" max="13333" width="9.109375" style="337" customWidth="1"/>
    <col min="13334" max="13566" width="8.88671875" style="337"/>
    <col min="13567" max="13567" width="46.33203125" style="337" bestFit="1" customWidth="1"/>
    <col min="13568" max="13568" width="9.6640625" style="337" bestFit="1" customWidth="1"/>
    <col min="13569" max="13579" width="9.109375" style="337" customWidth="1"/>
    <col min="13580" max="13580" width="17.44140625" style="337" customWidth="1"/>
    <col min="13581" max="13589" width="9.109375" style="337" customWidth="1"/>
    <col min="13590" max="13822" width="8.88671875" style="337"/>
    <col min="13823" max="13823" width="46.33203125" style="337" bestFit="1" customWidth="1"/>
    <col min="13824" max="13824" width="9.6640625" style="337" bestFit="1" customWidth="1"/>
    <col min="13825" max="13835" width="9.109375" style="337" customWidth="1"/>
    <col min="13836" max="13836" width="17.44140625" style="337" customWidth="1"/>
    <col min="13837" max="13845" width="9.109375" style="337" customWidth="1"/>
    <col min="13846" max="14078" width="8.88671875" style="337"/>
    <col min="14079" max="14079" width="46.33203125" style="337" bestFit="1" customWidth="1"/>
    <col min="14080" max="14080" width="9.6640625" style="337" bestFit="1" customWidth="1"/>
    <col min="14081" max="14091" width="9.109375" style="337" customWidth="1"/>
    <col min="14092" max="14092" width="17.44140625" style="337" customWidth="1"/>
    <col min="14093" max="14101" width="9.109375" style="337" customWidth="1"/>
    <col min="14102" max="14334" width="8.88671875" style="337"/>
    <col min="14335" max="14335" width="46.33203125" style="337" bestFit="1" customWidth="1"/>
    <col min="14336" max="14336" width="9.6640625" style="337" bestFit="1" customWidth="1"/>
    <col min="14337" max="14347" width="9.109375" style="337" customWidth="1"/>
    <col min="14348" max="14348" width="17.44140625" style="337" customWidth="1"/>
    <col min="14349" max="14357" width="9.109375" style="337" customWidth="1"/>
    <col min="14358" max="14590" width="8.88671875" style="337"/>
    <col min="14591" max="14591" width="46.33203125" style="337" bestFit="1" customWidth="1"/>
    <col min="14592" max="14592" width="9.6640625" style="337" bestFit="1" customWidth="1"/>
    <col min="14593" max="14603" width="9.109375" style="337" customWidth="1"/>
    <col min="14604" max="14604" width="17.44140625" style="337" customWidth="1"/>
    <col min="14605" max="14613" width="9.109375" style="337" customWidth="1"/>
    <col min="14614" max="14846" width="8.88671875" style="337"/>
    <col min="14847" max="14847" width="46.33203125" style="337" bestFit="1" customWidth="1"/>
    <col min="14848" max="14848" width="9.6640625" style="337" bestFit="1" customWidth="1"/>
    <col min="14849" max="14859" width="9.109375" style="337" customWidth="1"/>
    <col min="14860" max="14860" width="17.44140625" style="337" customWidth="1"/>
    <col min="14861" max="14869" width="9.109375" style="337" customWidth="1"/>
    <col min="14870" max="15102" width="8.88671875" style="337"/>
    <col min="15103" max="15103" width="46.33203125" style="337" bestFit="1" customWidth="1"/>
    <col min="15104" max="15104" width="9.6640625" style="337" bestFit="1" customWidth="1"/>
    <col min="15105" max="15115" width="9.109375" style="337" customWidth="1"/>
    <col min="15116" max="15116" width="17.44140625" style="337" customWidth="1"/>
    <col min="15117" max="15125" width="9.109375" style="337" customWidth="1"/>
    <col min="15126" max="15358" width="8.88671875" style="337"/>
    <col min="15359" max="15359" width="46.33203125" style="337" bestFit="1" customWidth="1"/>
    <col min="15360" max="15360" width="9.6640625" style="337" bestFit="1" customWidth="1"/>
    <col min="15361" max="15371" width="9.109375" style="337" customWidth="1"/>
    <col min="15372" max="15372" width="17.44140625" style="337" customWidth="1"/>
    <col min="15373" max="15381" width="9.109375" style="337" customWidth="1"/>
    <col min="15382" max="15614" width="8.88671875" style="337"/>
    <col min="15615" max="15615" width="46.33203125" style="337" bestFit="1" customWidth="1"/>
    <col min="15616" max="15616" width="9.6640625" style="337" bestFit="1" customWidth="1"/>
    <col min="15617" max="15627" width="9.109375" style="337" customWidth="1"/>
    <col min="15628" max="15628" width="17.44140625" style="337" customWidth="1"/>
    <col min="15629" max="15637" width="9.109375" style="337" customWidth="1"/>
    <col min="15638" max="15870" width="8.88671875" style="337"/>
    <col min="15871" max="15871" width="46.33203125" style="337" bestFit="1" customWidth="1"/>
    <col min="15872" max="15872" width="9.6640625" style="337" bestFit="1" customWidth="1"/>
    <col min="15873" max="15883" width="9.109375" style="337" customWidth="1"/>
    <col min="15884" max="15884" width="17.44140625" style="337" customWidth="1"/>
    <col min="15885" max="15893" width="9.109375" style="337" customWidth="1"/>
    <col min="15894" max="16126" width="8.88671875" style="337"/>
    <col min="16127" max="16127" width="46.33203125" style="337" bestFit="1" customWidth="1"/>
    <col min="16128" max="16128" width="9.6640625" style="337" bestFit="1" customWidth="1"/>
    <col min="16129" max="16139" width="9.109375" style="337" customWidth="1"/>
    <col min="16140" max="16140" width="17.44140625" style="337" customWidth="1"/>
    <col min="16141" max="16149" width="9.109375" style="337" customWidth="1"/>
    <col min="16150" max="16382" width="8.88671875" style="337"/>
    <col min="16383" max="16384" width="12.6640625" style="337" customWidth="1"/>
  </cols>
  <sheetData>
    <row r="1" spans="1:15" s="336" customFormat="1" ht="16.2">
      <c r="A1" s="624" t="s">
        <v>209</v>
      </c>
      <c r="B1" s="624"/>
      <c r="C1" s="625"/>
      <c r="D1" s="625"/>
      <c r="E1" s="625"/>
      <c r="F1" s="625"/>
      <c r="G1" s="625"/>
      <c r="H1" s="625"/>
      <c r="I1" s="625"/>
      <c r="J1" s="625"/>
      <c r="K1" s="625"/>
      <c r="L1" s="625"/>
      <c r="M1" s="625"/>
      <c r="N1" s="625"/>
      <c r="O1" s="625"/>
    </row>
    <row r="2" spans="1:15" s="336" customFormat="1" ht="15.6">
      <c r="A2" s="626" t="s">
        <v>216</v>
      </c>
      <c r="B2" s="626"/>
      <c r="C2" s="627"/>
      <c r="D2" s="627"/>
      <c r="E2" s="627"/>
      <c r="F2" s="627"/>
      <c r="G2" s="627"/>
      <c r="H2" s="627"/>
      <c r="I2" s="627"/>
      <c r="J2" s="627"/>
      <c r="K2" s="627"/>
      <c r="L2" s="627"/>
      <c r="M2" s="627"/>
      <c r="N2" s="627"/>
      <c r="O2" s="627"/>
    </row>
    <row r="3" spans="1:15" s="336" customFormat="1" ht="15.6">
      <c r="A3" s="628" t="str">
        <f>'Fund 0666'!A3:O3</f>
        <v>Data Through December 31, 2021</v>
      </c>
      <c r="B3" s="628"/>
      <c r="C3" s="629"/>
      <c r="D3" s="629"/>
      <c r="E3" s="629"/>
      <c r="F3" s="629"/>
      <c r="G3" s="629"/>
      <c r="H3" s="629"/>
      <c r="I3" s="629"/>
      <c r="J3" s="629"/>
      <c r="K3" s="629"/>
      <c r="L3" s="629"/>
      <c r="M3" s="629"/>
      <c r="N3" s="629"/>
      <c r="O3" s="629"/>
    </row>
    <row r="4" spans="1:15" s="336" customFormat="1">
      <c r="A4" s="326"/>
      <c r="B4" s="326"/>
      <c r="C4" s="322"/>
      <c r="D4" s="322"/>
      <c r="E4" s="322"/>
      <c r="F4" s="322"/>
      <c r="G4" s="322"/>
      <c r="H4" s="322"/>
      <c r="I4" s="327"/>
      <c r="J4" s="327"/>
      <c r="K4" s="327"/>
      <c r="L4" s="319"/>
      <c r="M4" s="319"/>
      <c r="N4" s="319"/>
      <c r="O4" s="319"/>
    </row>
    <row r="5" spans="1:15">
      <c r="A5" s="328"/>
      <c r="B5" s="328"/>
      <c r="C5" s="322"/>
      <c r="D5" s="322"/>
      <c r="E5" s="322"/>
      <c r="F5" s="322"/>
      <c r="G5" s="322"/>
      <c r="H5" s="322"/>
      <c r="I5" s="329"/>
      <c r="J5" s="329"/>
      <c r="K5" s="329"/>
      <c r="L5" s="322"/>
      <c r="M5" s="322"/>
      <c r="N5" s="322"/>
      <c r="O5" s="322"/>
    </row>
    <row r="6" spans="1:15" ht="15.6">
      <c r="A6" s="91"/>
      <c r="B6" s="91"/>
      <c r="C6" s="347"/>
      <c r="D6" s="347"/>
      <c r="E6" s="347"/>
      <c r="F6" s="347"/>
      <c r="G6" s="347"/>
      <c r="H6" s="347"/>
      <c r="I6" s="347"/>
      <c r="J6" s="347"/>
      <c r="K6" s="347"/>
      <c r="L6" s="347"/>
      <c r="M6" s="347"/>
      <c r="N6" s="347"/>
      <c r="O6" s="347" t="s">
        <v>563</v>
      </c>
    </row>
    <row r="7" spans="1:15" s="338" customFormat="1" ht="16.2" thickBot="1">
      <c r="A7" s="92"/>
      <c r="B7" s="92"/>
      <c r="C7" s="321" t="s">
        <v>528</v>
      </c>
      <c r="D7" s="321" t="s">
        <v>529</v>
      </c>
      <c r="E7" s="321" t="s">
        <v>530</v>
      </c>
      <c r="F7" s="321" t="s">
        <v>531</v>
      </c>
      <c r="G7" s="321" t="s">
        <v>532</v>
      </c>
      <c r="H7" s="321" t="s">
        <v>533</v>
      </c>
      <c r="I7" s="321" t="s">
        <v>534</v>
      </c>
      <c r="J7" s="321" t="s">
        <v>535</v>
      </c>
      <c r="K7" s="321" t="s">
        <v>536</v>
      </c>
      <c r="L7" s="321" t="s">
        <v>537</v>
      </c>
      <c r="M7" s="321" t="s">
        <v>538</v>
      </c>
      <c r="N7" s="321" t="s">
        <v>539</v>
      </c>
      <c r="O7" s="362" t="str">
        <f>'Fund 8093'!O7</f>
        <v>as of 12/31/21</v>
      </c>
    </row>
    <row r="8" spans="1:15" ht="16.2" thickTop="1">
      <c r="A8" s="91"/>
      <c r="B8" s="91"/>
      <c r="C8" s="85"/>
      <c r="D8" s="85"/>
      <c r="E8" s="85"/>
      <c r="F8" s="85"/>
      <c r="G8" s="85"/>
      <c r="H8" s="85"/>
      <c r="I8" s="93"/>
      <c r="J8" s="94"/>
      <c r="K8" s="94"/>
      <c r="L8" s="85"/>
      <c r="M8" s="85"/>
      <c r="N8" s="85"/>
      <c r="O8" s="85"/>
    </row>
    <row r="9" spans="1:15" ht="16.2" thickBot="1">
      <c r="A9" s="341" t="s">
        <v>212</v>
      </c>
      <c r="B9" s="35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3" t="s">
        <v>208</v>
      </c>
      <c r="B11" s="363"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5" t="s">
        <v>360</v>
      </c>
      <c r="C13" s="85">
        <v>286</v>
      </c>
      <c r="D13" s="85">
        <v>199.82</v>
      </c>
      <c r="E13" s="85">
        <v>480.33</v>
      </c>
      <c r="F13" s="426">
        <v>467.5</v>
      </c>
      <c r="G13" s="427"/>
      <c r="H13" s="426"/>
      <c r="I13" s="85"/>
      <c r="J13" s="85"/>
      <c r="K13" s="85"/>
      <c r="L13" s="85"/>
      <c r="M13" s="85"/>
      <c r="N13" s="85"/>
      <c r="O13" s="103">
        <f t="shared" ref="O13" si="1">ROUND(SUM(C13:N13),0)</f>
        <v>1434</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4" t="s">
        <v>207</v>
      </c>
      <c r="B16" s="364"/>
      <c r="C16" s="88">
        <f>SUM(C8:C15)</f>
        <v>286</v>
      </c>
      <c r="D16" s="88">
        <f t="shared" ref="D16:L16" si="2">SUM(D8:D15)</f>
        <v>199.82</v>
      </c>
      <c r="E16" s="88">
        <f t="shared" si="2"/>
        <v>480.33</v>
      </c>
      <c r="F16" s="88">
        <f t="shared" si="2"/>
        <v>467.5</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1433.65</v>
      </c>
    </row>
    <row r="17" spans="1:15" ht="15.6">
      <c r="A17" s="91"/>
      <c r="B17" s="91"/>
      <c r="C17" s="85"/>
      <c r="D17" s="85"/>
      <c r="E17" s="85"/>
      <c r="F17" s="85"/>
      <c r="G17" s="85"/>
      <c r="H17" s="85"/>
      <c r="I17" s="98"/>
      <c r="J17" s="98"/>
      <c r="K17" s="98"/>
      <c r="L17" s="85"/>
      <c r="M17" s="85"/>
      <c r="N17" s="85"/>
      <c r="O17" s="85"/>
    </row>
    <row r="18" spans="1:15" ht="15.6">
      <c r="A18" s="363" t="s">
        <v>206</v>
      </c>
      <c r="B18" s="363"/>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0</v>
      </c>
      <c r="H20" s="85">
        <f t="shared" si="3"/>
        <v>0</v>
      </c>
      <c r="I20" s="85">
        <f t="shared" si="3"/>
        <v>0</v>
      </c>
      <c r="J20" s="85">
        <f t="shared" si="3"/>
        <v>0</v>
      </c>
      <c r="K20" s="85">
        <f t="shared" si="3"/>
        <v>0</v>
      </c>
      <c r="L20" s="85">
        <f t="shared" si="3"/>
        <v>0</v>
      </c>
      <c r="M20" s="85">
        <f>ROUND(-M16,0)</f>
        <v>0</v>
      </c>
      <c r="N20" s="85">
        <f>ROUND(-N16,0)</f>
        <v>0</v>
      </c>
      <c r="O20" s="85">
        <f>ROUND(SUM(C20:N20),0)</f>
        <v>-1434</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3" t="s">
        <v>205</v>
      </c>
      <c r="B23" s="363"/>
      <c r="C23" s="88">
        <f>SUM(C19:C22)</f>
        <v>-286</v>
      </c>
      <c r="D23" s="88">
        <f t="shared" ref="D23:M23" si="4">SUM(D19:D22)</f>
        <v>-199.82</v>
      </c>
      <c r="E23" s="88">
        <f t="shared" si="4"/>
        <v>-480.33</v>
      </c>
      <c r="F23" s="88">
        <f t="shared" si="4"/>
        <v>-467.5</v>
      </c>
      <c r="G23" s="88">
        <f t="shared" si="4"/>
        <v>0</v>
      </c>
      <c r="H23" s="88">
        <f t="shared" si="4"/>
        <v>0</v>
      </c>
      <c r="I23" s="88">
        <f t="shared" si="4"/>
        <v>0</v>
      </c>
      <c r="J23" s="88">
        <f t="shared" si="4"/>
        <v>0</v>
      </c>
      <c r="K23" s="88">
        <f t="shared" si="4"/>
        <v>0</v>
      </c>
      <c r="L23" s="88">
        <f t="shared" si="4"/>
        <v>0</v>
      </c>
      <c r="M23" s="88">
        <f t="shared" si="4"/>
        <v>0</v>
      </c>
      <c r="N23" s="88">
        <f>SUM(N19:N22)</f>
        <v>0</v>
      </c>
      <c r="O23" s="88">
        <f>SUM(O19:O22)</f>
        <v>-1434</v>
      </c>
    </row>
    <row r="24" spans="1:15" ht="15.6">
      <c r="A24" s="91"/>
      <c r="B24" s="91"/>
      <c r="C24" s="85"/>
      <c r="D24" s="85"/>
      <c r="E24" s="85"/>
      <c r="F24" s="85"/>
      <c r="G24" s="85"/>
      <c r="H24" s="85"/>
      <c r="I24" s="98"/>
      <c r="J24" s="98"/>
      <c r="K24" s="98"/>
      <c r="L24" s="85"/>
      <c r="M24" s="85"/>
      <c r="N24" s="85"/>
      <c r="O24" s="85"/>
    </row>
    <row r="25" spans="1:15" ht="16.2" thickBot="1">
      <c r="A25" s="341" t="s">
        <v>204</v>
      </c>
      <c r="B25" s="341"/>
      <c r="C25" s="344">
        <f>+C9+C16+C23</f>
        <v>0</v>
      </c>
      <c r="D25" s="344">
        <f t="shared" ref="D25:N25" si="5">+D9+D16+D23</f>
        <v>0</v>
      </c>
      <c r="E25" s="344">
        <f t="shared" si="5"/>
        <v>0</v>
      </c>
      <c r="F25" s="344">
        <f t="shared" si="5"/>
        <v>0</v>
      </c>
      <c r="G25" s="344">
        <f t="shared" si="5"/>
        <v>0</v>
      </c>
      <c r="H25" s="344">
        <f t="shared" si="5"/>
        <v>0</v>
      </c>
      <c r="I25" s="344">
        <f t="shared" si="5"/>
        <v>0</v>
      </c>
      <c r="J25" s="344">
        <f t="shared" si="5"/>
        <v>0</v>
      </c>
      <c r="K25" s="344">
        <f t="shared" si="5"/>
        <v>0</v>
      </c>
      <c r="L25" s="344">
        <f t="shared" si="5"/>
        <v>0</v>
      </c>
      <c r="M25" s="344">
        <f t="shared" si="5"/>
        <v>0</v>
      </c>
      <c r="N25" s="344">
        <f t="shared" si="5"/>
        <v>0</v>
      </c>
      <c r="O25" s="344">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F25" sqref="F25"/>
    </sheetView>
  </sheetViews>
  <sheetFormatPr defaultRowHeight="13.2"/>
  <cols>
    <col min="1" max="1" width="64.6640625" style="330" bestFit="1" customWidth="1"/>
    <col min="2" max="2" width="17.109375" style="330" bestFit="1" customWidth="1"/>
    <col min="3" max="3" width="11.33203125" style="320" hidden="1" customWidth="1"/>
    <col min="4" max="4" width="11.44140625" style="320" hidden="1" customWidth="1"/>
    <col min="5" max="5" width="11.6640625" style="320" hidden="1" customWidth="1"/>
    <col min="6" max="6" width="11.6640625" style="320" customWidth="1"/>
    <col min="7" max="7" width="11.33203125" style="320" hidden="1" customWidth="1"/>
    <col min="8" max="8" width="11.6640625" style="320" hidden="1" customWidth="1"/>
    <col min="9" max="9" width="12.109375" style="320" hidden="1" customWidth="1"/>
    <col min="10" max="10" width="11.6640625" style="320" hidden="1" customWidth="1"/>
    <col min="11" max="11" width="12.109375" style="320" hidden="1" customWidth="1"/>
    <col min="12" max="12" width="11.44140625" style="320" hidden="1" customWidth="1"/>
    <col min="13" max="13" width="11.109375" style="320" hidden="1" customWidth="1"/>
    <col min="14" max="14" width="11.6640625" style="320" hidden="1" customWidth="1"/>
    <col min="15" max="15" width="16.109375" style="320" bestFit="1" customWidth="1"/>
    <col min="16" max="16" width="22.33203125" style="330" customWidth="1"/>
    <col min="17" max="17" width="22.33203125" style="331" customWidth="1"/>
    <col min="18" max="18" width="22.33203125" style="330" customWidth="1"/>
    <col min="19" max="20" width="9.33203125" style="330" customWidth="1"/>
    <col min="21" max="21" width="12.6640625" style="330" customWidth="1"/>
    <col min="22" max="22" width="10.44140625" style="330" customWidth="1"/>
    <col min="23" max="254" width="8.88671875" style="330"/>
    <col min="255" max="255" width="63.5546875" style="330" bestFit="1" customWidth="1"/>
    <col min="256" max="256" width="10.6640625" style="330" bestFit="1" customWidth="1"/>
    <col min="257" max="267" width="9.109375" style="330" customWidth="1"/>
    <col min="268" max="268" width="14.88671875" style="330" bestFit="1" customWidth="1"/>
    <col min="269" max="277" width="9.109375" style="330" customWidth="1"/>
    <col min="278" max="278" width="10.44140625" style="330" customWidth="1"/>
    <col min="279" max="510" width="8.88671875" style="330"/>
    <col min="511" max="511" width="63.5546875" style="330" bestFit="1" customWidth="1"/>
    <col min="512" max="512" width="10.6640625" style="330" bestFit="1" customWidth="1"/>
    <col min="513" max="523" width="9.109375" style="330" customWidth="1"/>
    <col min="524" max="524" width="14.88671875" style="330" bestFit="1" customWidth="1"/>
    <col min="525" max="533" width="9.109375" style="330" customWidth="1"/>
    <col min="534" max="534" width="10.44140625" style="330" customWidth="1"/>
    <col min="535" max="766" width="8.88671875" style="330"/>
    <col min="767" max="767" width="63.5546875" style="330" bestFit="1" customWidth="1"/>
    <col min="768" max="768" width="10.6640625" style="330" bestFit="1" customWidth="1"/>
    <col min="769" max="779" width="9.109375" style="330" customWidth="1"/>
    <col min="780" max="780" width="14.88671875" style="330" bestFit="1" customWidth="1"/>
    <col min="781" max="789" width="9.109375" style="330" customWidth="1"/>
    <col min="790" max="790" width="10.44140625" style="330" customWidth="1"/>
    <col min="791" max="1022" width="8.88671875" style="330"/>
    <col min="1023" max="1023" width="63.5546875" style="330" bestFit="1" customWidth="1"/>
    <col min="1024" max="1024" width="10.6640625" style="330" bestFit="1" customWidth="1"/>
    <col min="1025" max="1035" width="9.109375" style="330" customWidth="1"/>
    <col min="1036" max="1036" width="14.88671875" style="330" bestFit="1" customWidth="1"/>
    <col min="1037" max="1045" width="9.109375" style="330" customWidth="1"/>
    <col min="1046" max="1046" width="10.44140625" style="330" customWidth="1"/>
    <col min="1047" max="1278" width="8.88671875" style="330"/>
    <col min="1279" max="1279" width="63.5546875" style="330" bestFit="1" customWidth="1"/>
    <col min="1280" max="1280" width="10.6640625" style="330" bestFit="1" customWidth="1"/>
    <col min="1281" max="1291" width="9.109375" style="330" customWidth="1"/>
    <col min="1292" max="1292" width="14.88671875" style="330" bestFit="1" customWidth="1"/>
    <col min="1293" max="1301" width="9.109375" style="330" customWidth="1"/>
    <col min="1302" max="1302" width="10.44140625" style="330" customWidth="1"/>
    <col min="1303" max="1534" width="8.88671875" style="330"/>
    <col min="1535" max="1535" width="63.5546875" style="330" bestFit="1" customWidth="1"/>
    <col min="1536" max="1536" width="10.6640625" style="330" bestFit="1" customWidth="1"/>
    <col min="1537" max="1547" width="9.109375" style="330" customWidth="1"/>
    <col min="1548" max="1548" width="14.88671875" style="330" bestFit="1" customWidth="1"/>
    <col min="1549" max="1557" width="9.109375" style="330" customWidth="1"/>
    <col min="1558" max="1558" width="10.44140625" style="330" customWidth="1"/>
    <col min="1559" max="1790" width="8.88671875" style="330"/>
    <col min="1791" max="1791" width="63.5546875" style="330" bestFit="1" customWidth="1"/>
    <col min="1792" max="1792" width="10.6640625" style="330" bestFit="1" customWidth="1"/>
    <col min="1793" max="1803" width="9.109375" style="330" customWidth="1"/>
    <col min="1804" max="1804" width="14.88671875" style="330" bestFit="1" customWidth="1"/>
    <col min="1805" max="1813" width="9.109375" style="330" customWidth="1"/>
    <col min="1814" max="1814" width="10.44140625" style="330" customWidth="1"/>
    <col min="1815" max="2046" width="8.88671875" style="330"/>
    <col min="2047" max="2047" width="63.5546875" style="330" bestFit="1" customWidth="1"/>
    <col min="2048" max="2048" width="10.6640625" style="330" bestFit="1" customWidth="1"/>
    <col min="2049" max="2059" width="9.109375" style="330" customWidth="1"/>
    <col min="2060" max="2060" width="14.88671875" style="330" bestFit="1" customWidth="1"/>
    <col min="2061" max="2069" width="9.109375" style="330" customWidth="1"/>
    <col min="2070" max="2070" width="10.44140625" style="330" customWidth="1"/>
    <col min="2071" max="2302" width="8.88671875" style="330"/>
    <col min="2303" max="2303" width="63.5546875" style="330" bestFit="1" customWidth="1"/>
    <col min="2304" max="2304" width="10.6640625" style="330" bestFit="1" customWidth="1"/>
    <col min="2305" max="2315" width="9.109375" style="330" customWidth="1"/>
    <col min="2316" max="2316" width="14.88671875" style="330" bestFit="1" customWidth="1"/>
    <col min="2317" max="2325" width="9.109375" style="330" customWidth="1"/>
    <col min="2326" max="2326" width="10.44140625" style="330" customWidth="1"/>
    <col min="2327" max="2558" width="8.88671875" style="330"/>
    <col min="2559" max="2559" width="63.5546875" style="330" bestFit="1" customWidth="1"/>
    <col min="2560" max="2560" width="10.6640625" style="330" bestFit="1" customWidth="1"/>
    <col min="2561" max="2571" width="9.109375" style="330" customWidth="1"/>
    <col min="2572" max="2572" width="14.88671875" style="330" bestFit="1" customWidth="1"/>
    <col min="2573" max="2581" width="9.109375" style="330" customWidth="1"/>
    <col min="2582" max="2582" width="10.44140625" style="330" customWidth="1"/>
    <col min="2583" max="2814" width="8.88671875" style="330"/>
    <col min="2815" max="2815" width="63.5546875" style="330" bestFit="1" customWidth="1"/>
    <col min="2816" max="2816" width="10.6640625" style="330" bestFit="1" customWidth="1"/>
    <col min="2817" max="2827" width="9.109375" style="330" customWidth="1"/>
    <col min="2828" max="2828" width="14.88671875" style="330" bestFit="1" customWidth="1"/>
    <col min="2829" max="2837" width="9.109375" style="330" customWidth="1"/>
    <col min="2838" max="2838" width="10.44140625" style="330" customWidth="1"/>
    <col min="2839" max="3070" width="8.88671875" style="330"/>
    <col min="3071" max="3071" width="63.5546875" style="330" bestFit="1" customWidth="1"/>
    <col min="3072" max="3072" width="10.6640625" style="330" bestFit="1" customWidth="1"/>
    <col min="3073" max="3083" width="9.109375" style="330" customWidth="1"/>
    <col min="3084" max="3084" width="14.88671875" style="330" bestFit="1" customWidth="1"/>
    <col min="3085" max="3093" width="9.109375" style="330" customWidth="1"/>
    <col min="3094" max="3094" width="10.44140625" style="330" customWidth="1"/>
    <col min="3095" max="3326" width="8.88671875" style="330"/>
    <col min="3327" max="3327" width="63.5546875" style="330" bestFit="1" customWidth="1"/>
    <col min="3328" max="3328" width="10.6640625" style="330" bestFit="1" customWidth="1"/>
    <col min="3329" max="3339" width="9.109375" style="330" customWidth="1"/>
    <col min="3340" max="3340" width="14.88671875" style="330" bestFit="1" customWidth="1"/>
    <col min="3341" max="3349" width="9.109375" style="330" customWidth="1"/>
    <col min="3350" max="3350" width="10.44140625" style="330" customWidth="1"/>
    <col min="3351" max="3582" width="8.88671875" style="330"/>
    <col min="3583" max="3583" width="63.5546875" style="330" bestFit="1" customWidth="1"/>
    <col min="3584" max="3584" width="10.6640625" style="330" bestFit="1" customWidth="1"/>
    <col min="3585" max="3595" width="9.109375" style="330" customWidth="1"/>
    <col min="3596" max="3596" width="14.88671875" style="330" bestFit="1" customWidth="1"/>
    <col min="3597" max="3605" width="9.109375" style="330" customWidth="1"/>
    <col min="3606" max="3606" width="10.44140625" style="330" customWidth="1"/>
    <col min="3607" max="3838" width="8.88671875" style="330"/>
    <col min="3839" max="3839" width="63.5546875" style="330" bestFit="1" customWidth="1"/>
    <col min="3840" max="3840" width="10.6640625" style="330" bestFit="1" customWidth="1"/>
    <col min="3841" max="3851" width="9.109375" style="330" customWidth="1"/>
    <col min="3852" max="3852" width="14.88671875" style="330" bestFit="1" customWidth="1"/>
    <col min="3853" max="3861" width="9.109375" style="330" customWidth="1"/>
    <col min="3862" max="3862" width="10.44140625" style="330" customWidth="1"/>
    <col min="3863" max="4094" width="8.88671875" style="330"/>
    <col min="4095" max="4095" width="63.5546875" style="330" bestFit="1" customWidth="1"/>
    <col min="4096" max="4096" width="10.6640625" style="330" bestFit="1" customWidth="1"/>
    <col min="4097" max="4107" width="9.109375" style="330" customWidth="1"/>
    <col min="4108" max="4108" width="14.88671875" style="330" bestFit="1" customWidth="1"/>
    <col min="4109" max="4117" width="9.109375" style="330" customWidth="1"/>
    <col min="4118" max="4118" width="10.44140625" style="330" customWidth="1"/>
    <col min="4119" max="4350" width="8.88671875" style="330"/>
    <col min="4351" max="4351" width="63.5546875" style="330" bestFit="1" customWidth="1"/>
    <col min="4352" max="4352" width="10.6640625" style="330" bestFit="1" customWidth="1"/>
    <col min="4353" max="4363" width="9.109375" style="330" customWidth="1"/>
    <col min="4364" max="4364" width="14.88671875" style="330" bestFit="1" customWidth="1"/>
    <col min="4365" max="4373" width="9.109375" style="330" customWidth="1"/>
    <col min="4374" max="4374" width="10.44140625" style="330" customWidth="1"/>
    <col min="4375" max="4606" width="8.88671875" style="330"/>
    <col min="4607" max="4607" width="63.5546875" style="330" bestFit="1" customWidth="1"/>
    <col min="4608" max="4608" width="10.6640625" style="330" bestFit="1" customWidth="1"/>
    <col min="4609" max="4619" width="9.109375" style="330" customWidth="1"/>
    <col min="4620" max="4620" width="14.88671875" style="330" bestFit="1" customWidth="1"/>
    <col min="4621" max="4629" width="9.109375" style="330" customWidth="1"/>
    <col min="4630" max="4630" width="10.44140625" style="330" customWidth="1"/>
    <col min="4631" max="4862" width="8.88671875" style="330"/>
    <col min="4863" max="4863" width="63.5546875" style="330" bestFit="1" customWidth="1"/>
    <col min="4864" max="4864" width="10.6640625" style="330" bestFit="1" customWidth="1"/>
    <col min="4865" max="4875" width="9.109375" style="330" customWidth="1"/>
    <col min="4876" max="4876" width="14.88671875" style="330" bestFit="1" customWidth="1"/>
    <col min="4877" max="4885" width="9.109375" style="330" customWidth="1"/>
    <col min="4886" max="4886" width="10.44140625" style="330" customWidth="1"/>
    <col min="4887" max="5118" width="8.88671875" style="330"/>
    <col min="5119" max="5119" width="63.5546875" style="330" bestFit="1" customWidth="1"/>
    <col min="5120" max="5120" width="10.6640625" style="330" bestFit="1" customWidth="1"/>
    <col min="5121" max="5131" width="9.109375" style="330" customWidth="1"/>
    <col min="5132" max="5132" width="14.88671875" style="330" bestFit="1" customWidth="1"/>
    <col min="5133" max="5141" width="9.109375" style="330" customWidth="1"/>
    <col min="5142" max="5142" width="10.44140625" style="330" customWidth="1"/>
    <col min="5143" max="5374" width="8.88671875" style="330"/>
    <col min="5375" max="5375" width="63.5546875" style="330" bestFit="1" customWidth="1"/>
    <col min="5376" max="5376" width="10.6640625" style="330" bestFit="1" customWidth="1"/>
    <col min="5377" max="5387" width="9.109375" style="330" customWidth="1"/>
    <col min="5388" max="5388" width="14.88671875" style="330" bestFit="1" customWidth="1"/>
    <col min="5389" max="5397" width="9.109375" style="330" customWidth="1"/>
    <col min="5398" max="5398" width="10.44140625" style="330" customWidth="1"/>
    <col min="5399" max="5630" width="8.88671875" style="330"/>
    <col min="5631" max="5631" width="63.5546875" style="330" bestFit="1" customWidth="1"/>
    <col min="5632" max="5632" width="10.6640625" style="330" bestFit="1" customWidth="1"/>
    <col min="5633" max="5643" width="9.109375" style="330" customWidth="1"/>
    <col min="5644" max="5644" width="14.88671875" style="330" bestFit="1" customWidth="1"/>
    <col min="5645" max="5653" width="9.109375" style="330" customWidth="1"/>
    <col min="5654" max="5654" width="10.44140625" style="330" customWidth="1"/>
    <col min="5655" max="5886" width="8.88671875" style="330"/>
    <col min="5887" max="5887" width="63.5546875" style="330" bestFit="1" customWidth="1"/>
    <col min="5888" max="5888" width="10.6640625" style="330" bestFit="1" customWidth="1"/>
    <col min="5889" max="5899" width="9.109375" style="330" customWidth="1"/>
    <col min="5900" max="5900" width="14.88671875" style="330" bestFit="1" customWidth="1"/>
    <col min="5901" max="5909" width="9.109375" style="330" customWidth="1"/>
    <col min="5910" max="5910" width="10.44140625" style="330" customWidth="1"/>
    <col min="5911" max="6142" width="8.88671875" style="330"/>
    <col min="6143" max="6143" width="63.5546875" style="330" bestFit="1" customWidth="1"/>
    <col min="6144" max="6144" width="10.6640625" style="330" bestFit="1" customWidth="1"/>
    <col min="6145" max="6155" width="9.109375" style="330" customWidth="1"/>
    <col min="6156" max="6156" width="14.88671875" style="330" bestFit="1" customWidth="1"/>
    <col min="6157" max="6165" width="9.109375" style="330" customWidth="1"/>
    <col min="6166" max="6166" width="10.44140625" style="330" customWidth="1"/>
    <col min="6167" max="6398" width="8.88671875" style="330"/>
    <col min="6399" max="6399" width="63.5546875" style="330" bestFit="1" customWidth="1"/>
    <col min="6400" max="6400" width="10.6640625" style="330" bestFit="1" customWidth="1"/>
    <col min="6401" max="6411" width="9.109375" style="330" customWidth="1"/>
    <col min="6412" max="6412" width="14.88671875" style="330" bestFit="1" customWidth="1"/>
    <col min="6413" max="6421" width="9.109375" style="330" customWidth="1"/>
    <col min="6422" max="6422" width="10.44140625" style="330" customWidth="1"/>
    <col min="6423" max="6654" width="8.88671875" style="330"/>
    <col min="6655" max="6655" width="63.5546875" style="330" bestFit="1" customWidth="1"/>
    <col min="6656" max="6656" width="10.6640625" style="330" bestFit="1" customWidth="1"/>
    <col min="6657" max="6667" width="9.109375" style="330" customWidth="1"/>
    <col min="6668" max="6668" width="14.88671875" style="330" bestFit="1" customWidth="1"/>
    <col min="6669" max="6677" width="9.109375" style="330" customWidth="1"/>
    <col min="6678" max="6678" width="10.44140625" style="330" customWidth="1"/>
    <col min="6679" max="6910" width="8.88671875" style="330"/>
    <col min="6911" max="6911" width="63.5546875" style="330" bestFit="1" customWidth="1"/>
    <col min="6912" max="6912" width="10.6640625" style="330" bestFit="1" customWidth="1"/>
    <col min="6913" max="6923" width="9.109375" style="330" customWidth="1"/>
    <col min="6924" max="6924" width="14.88671875" style="330" bestFit="1" customWidth="1"/>
    <col min="6925" max="6933" width="9.109375" style="330" customWidth="1"/>
    <col min="6934" max="6934" width="10.44140625" style="330" customWidth="1"/>
    <col min="6935" max="7166" width="8.88671875" style="330"/>
    <col min="7167" max="7167" width="63.5546875" style="330" bestFit="1" customWidth="1"/>
    <col min="7168" max="7168" width="10.6640625" style="330" bestFit="1" customWidth="1"/>
    <col min="7169" max="7179" width="9.109375" style="330" customWidth="1"/>
    <col min="7180" max="7180" width="14.88671875" style="330" bestFit="1" customWidth="1"/>
    <col min="7181" max="7189" width="9.109375" style="330" customWidth="1"/>
    <col min="7190" max="7190" width="10.44140625" style="330" customWidth="1"/>
    <col min="7191" max="7422" width="8.88671875" style="330"/>
    <col min="7423" max="7423" width="63.5546875" style="330" bestFit="1" customWidth="1"/>
    <col min="7424" max="7424" width="10.6640625" style="330" bestFit="1" customWidth="1"/>
    <col min="7425" max="7435" width="9.109375" style="330" customWidth="1"/>
    <col min="7436" max="7436" width="14.88671875" style="330" bestFit="1" customWidth="1"/>
    <col min="7437" max="7445" width="9.109375" style="330" customWidth="1"/>
    <col min="7446" max="7446" width="10.44140625" style="330" customWidth="1"/>
    <col min="7447" max="7678" width="8.88671875" style="330"/>
    <col min="7679" max="7679" width="63.5546875" style="330" bestFit="1" customWidth="1"/>
    <col min="7680" max="7680" width="10.6640625" style="330" bestFit="1" customWidth="1"/>
    <col min="7681" max="7691" width="9.109375" style="330" customWidth="1"/>
    <col min="7692" max="7692" width="14.88671875" style="330" bestFit="1" customWidth="1"/>
    <col min="7693" max="7701" width="9.109375" style="330" customWidth="1"/>
    <col min="7702" max="7702" width="10.44140625" style="330" customWidth="1"/>
    <col min="7703" max="7934" width="8.88671875" style="330"/>
    <col min="7935" max="7935" width="63.5546875" style="330" bestFit="1" customWidth="1"/>
    <col min="7936" max="7936" width="10.6640625" style="330" bestFit="1" customWidth="1"/>
    <col min="7937" max="7947" width="9.109375" style="330" customWidth="1"/>
    <col min="7948" max="7948" width="14.88671875" style="330" bestFit="1" customWidth="1"/>
    <col min="7949" max="7957" width="9.109375" style="330" customWidth="1"/>
    <col min="7958" max="7958" width="10.44140625" style="330" customWidth="1"/>
    <col min="7959" max="8190" width="8.88671875" style="330"/>
    <col min="8191" max="8191" width="63.5546875" style="330" bestFit="1" customWidth="1"/>
    <col min="8192" max="8192" width="10.6640625" style="330" bestFit="1" customWidth="1"/>
    <col min="8193" max="8203" width="9.109375" style="330" customWidth="1"/>
    <col min="8204" max="8204" width="14.88671875" style="330" bestFit="1" customWidth="1"/>
    <col min="8205" max="8213" width="9.109375" style="330" customWidth="1"/>
    <col min="8214" max="8214" width="10.44140625" style="330" customWidth="1"/>
    <col min="8215" max="8446" width="8.88671875" style="330"/>
    <col min="8447" max="8447" width="63.5546875" style="330" bestFit="1" customWidth="1"/>
    <col min="8448" max="8448" width="10.6640625" style="330" bestFit="1" customWidth="1"/>
    <col min="8449" max="8459" width="9.109375" style="330" customWidth="1"/>
    <col min="8460" max="8460" width="14.88671875" style="330" bestFit="1" customWidth="1"/>
    <col min="8461" max="8469" width="9.109375" style="330" customWidth="1"/>
    <col min="8470" max="8470" width="10.44140625" style="330" customWidth="1"/>
    <col min="8471" max="8702" width="8.88671875" style="330"/>
    <col min="8703" max="8703" width="63.5546875" style="330" bestFit="1" customWidth="1"/>
    <col min="8704" max="8704" width="10.6640625" style="330" bestFit="1" customWidth="1"/>
    <col min="8705" max="8715" width="9.109375" style="330" customWidth="1"/>
    <col min="8716" max="8716" width="14.88671875" style="330" bestFit="1" customWidth="1"/>
    <col min="8717" max="8725" width="9.109375" style="330" customWidth="1"/>
    <col min="8726" max="8726" width="10.44140625" style="330" customWidth="1"/>
    <col min="8727" max="8958" width="8.88671875" style="330"/>
    <col min="8959" max="8959" width="63.5546875" style="330" bestFit="1" customWidth="1"/>
    <col min="8960" max="8960" width="10.6640625" style="330" bestFit="1" customWidth="1"/>
    <col min="8961" max="8971" width="9.109375" style="330" customWidth="1"/>
    <col min="8972" max="8972" width="14.88671875" style="330" bestFit="1" customWidth="1"/>
    <col min="8973" max="8981" width="9.109375" style="330" customWidth="1"/>
    <col min="8982" max="8982" width="10.44140625" style="330" customWidth="1"/>
    <col min="8983" max="9214" width="8.88671875" style="330"/>
    <col min="9215" max="9215" width="63.5546875" style="330" bestFit="1" customWidth="1"/>
    <col min="9216" max="9216" width="10.6640625" style="330" bestFit="1" customWidth="1"/>
    <col min="9217" max="9227" width="9.109375" style="330" customWidth="1"/>
    <col min="9228" max="9228" width="14.88671875" style="330" bestFit="1" customWidth="1"/>
    <col min="9229" max="9237" width="9.109375" style="330" customWidth="1"/>
    <col min="9238" max="9238" width="10.44140625" style="330" customWidth="1"/>
    <col min="9239" max="9470" width="8.88671875" style="330"/>
    <col min="9471" max="9471" width="63.5546875" style="330" bestFit="1" customWidth="1"/>
    <col min="9472" max="9472" width="10.6640625" style="330" bestFit="1" customWidth="1"/>
    <col min="9473" max="9483" width="9.109375" style="330" customWidth="1"/>
    <col min="9484" max="9484" width="14.88671875" style="330" bestFit="1" customWidth="1"/>
    <col min="9485" max="9493" width="9.109375" style="330" customWidth="1"/>
    <col min="9494" max="9494" width="10.44140625" style="330" customWidth="1"/>
    <col min="9495" max="9726" width="8.88671875" style="330"/>
    <col min="9727" max="9727" width="63.5546875" style="330" bestFit="1" customWidth="1"/>
    <col min="9728" max="9728" width="10.6640625" style="330" bestFit="1" customWidth="1"/>
    <col min="9729" max="9739" width="9.109375" style="330" customWidth="1"/>
    <col min="9740" max="9740" width="14.88671875" style="330" bestFit="1" customWidth="1"/>
    <col min="9741" max="9749" width="9.109375" style="330" customWidth="1"/>
    <col min="9750" max="9750" width="10.44140625" style="330" customWidth="1"/>
    <col min="9751" max="9982" width="8.88671875" style="330"/>
    <col min="9983" max="9983" width="63.5546875" style="330" bestFit="1" customWidth="1"/>
    <col min="9984" max="9984" width="10.6640625" style="330" bestFit="1" customWidth="1"/>
    <col min="9985" max="9995" width="9.109375" style="330" customWidth="1"/>
    <col min="9996" max="9996" width="14.88671875" style="330" bestFit="1" customWidth="1"/>
    <col min="9997" max="10005" width="9.109375" style="330" customWidth="1"/>
    <col min="10006" max="10006" width="10.44140625" style="330" customWidth="1"/>
    <col min="10007" max="10238" width="8.88671875" style="330"/>
    <col min="10239" max="10239" width="63.5546875" style="330" bestFit="1" customWidth="1"/>
    <col min="10240" max="10240" width="10.6640625" style="330" bestFit="1" customWidth="1"/>
    <col min="10241" max="10251" width="9.109375" style="330" customWidth="1"/>
    <col min="10252" max="10252" width="14.88671875" style="330" bestFit="1" customWidth="1"/>
    <col min="10253" max="10261" width="9.109375" style="330" customWidth="1"/>
    <col min="10262" max="10262" width="10.44140625" style="330" customWidth="1"/>
    <col min="10263" max="10494" width="8.88671875" style="330"/>
    <col min="10495" max="10495" width="63.5546875" style="330" bestFit="1" customWidth="1"/>
    <col min="10496" max="10496" width="10.6640625" style="330" bestFit="1" customWidth="1"/>
    <col min="10497" max="10507" width="9.109375" style="330" customWidth="1"/>
    <col min="10508" max="10508" width="14.88671875" style="330" bestFit="1" customWidth="1"/>
    <col min="10509" max="10517" width="9.109375" style="330" customWidth="1"/>
    <col min="10518" max="10518" width="10.44140625" style="330" customWidth="1"/>
    <col min="10519" max="10750" width="8.88671875" style="330"/>
    <col min="10751" max="10751" width="63.5546875" style="330" bestFit="1" customWidth="1"/>
    <col min="10752" max="10752" width="10.6640625" style="330" bestFit="1" customWidth="1"/>
    <col min="10753" max="10763" width="9.109375" style="330" customWidth="1"/>
    <col min="10764" max="10764" width="14.88671875" style="330" bestFit="1" customWidth="1"/>
    <col min="10765" max="10773" width="9.109375" style="330" customWidth="1"/>
    <col min="10774" max="10774" width="10.44140625" style="330" customWidth="1"/>
    <col min="10775" max="11006" width="8.88671875" style="330"/>
    <col min="11007" max="11007" width="63.5546875" style="330" bestFit="1" customWidth="1"/>
    <col min="11008" max="11008" width="10.6640625" style="330" bestFit="1" customWidth="1"/>
    <col min="11009" max="11019" width="9.109375" style="330" customWidth="1"/>
    <col min="11020" max="11020" width="14.88671875" style="330" bestFit="1" customWidth="1"/>
    <col min="11021" max="11029" width="9.109375" style="330" customWidth="1"/>
    <col min="11030" max="11030" width="10.44140625" style="330" customWidth="1"/>
    <col min="11031" max="11262" width="8.88671875" style="330"/>
    <col min="11263" max="11263" width="63.5546875" style="330" bestFit="1" customWidth="1"/>
    <col min="11264" max="11264" width="10.6640625" style="330" bestFit="1" customWidth="1"/>
    <col min="11265" max="11275" width="9.109375" style="330" customWidth="1"/>
    <col min="11276" max="11276" width="14.88671875" style="330" bestFit="1" customWidth="1"/>
    <col min="11277" max="11285" width="9.109375" style="330" customWidth="1"/>
    <col min="11286" max="11286" width="10.44140625" style="330" customWidth="1"/>
    <col min="11287" max="11518" width="8.88671875" style="330"/>
    <col min="11519" max="11519" width="63.5546875" style="330" bestFit="1" customWidth="1"/>
    <col min="11520" max="11520" width="10.6640625" style="330" bestFit="1" customWidth="1"/>
    <col min="11521" max="11531" width="9.109375" style="330" customWidth="1"/>
    <col min="11532" max="11532" width="14.88671875" style="330" bestFit="1" customWidth="1"/>
    <col min="11533" max="11541" width="9.109375" style="330" customWidth="1"/>
    <col min="11542" max="11542" width="10.44140625" style="330" customWidth="1"/>
    <col min="11543" max="11774" width="8.88671875" style="330"/>
    <col min="11775" max="11775" width="63.5546875" style="330" bestFit="1" customWidth="1"/>
    <col min="11776" max="11776" width="10.6640625" style="330" bestFit="1" customWidth="1"/>
    <col min="11777" max="11787" width="9.109375" style="330" customWidth="1"/>
    <col min="11788" max="11788" width="14.88671875" style="330" bestFit="1" customWidth="1"/>
    <col min="11789" max="11797" width="9.109375" style="330" customWidth="1"/>
    <col min="11798" max="11798" width="10.44140625" style="330" customWidth="1"/>
    <col min="11799" max="12030" width="8.88671875" style="330"/>
    <col min="12031" max="12031" width="63.5546875" style="330" bestFit="1" customWidth="1"/>
    <col min="12032" max="12032" width="10.6640625" style="330" bestFit="1" customWidth="1"/>
    <col min="12033" max="12043" width="9.109375" style="330" customWidth="1"/>
    <col min="12044" max="12044" width="14.88671875" style="330" bestFit="1" customWidth="1"/>
    <col min="12045" max="12053" width="9.109375" style="330" customWidth="1"/>
    <col min="12054" max="12054" width="10.44140625" style="330" customWidth="1"/>
    <col min="12055" max="12286" width="8.88671875" style="330"/>
    <col min="12287" max="12287" width="63.5546875" style="330" bestFit="1" customWidth="1"/>
    <col min="12288" max="12288" width="10.6640625" style="330" bestFit="1" customWidth="1"/>
    <col min="12289" max="12299" width="9.109375" style="330" customWidth="1"/>
    <col min="12300" max="12300" width="14.88671875" style="330" bestFit="1" customWidth="1"/>
    <col min="12301" max="12309" width="9.109375" style="330" customWidth="1"/>
    <col min="12310" max="12310" width="10.44140625" style="330" customWidth="1"/>
    <col min="12311" max="12542" width="8.88671875" style="330"/>
    <col min="12543" max="12543" width="63.5546875" style="330" bestFit="1" customWidth="1"/>
    <col min="12544" max="12544" width="10.6640625" style="330" bestFit="1" customWidth="1"/>
    <col min="12545" max="12555" width="9.109375" style="330" customWidth="1"/>
    <col min="12556" max="12556" width="14.88671875" style="330" bestFit="1" customWidth="1"/>
    <col min="12557" max="12565" width="9.109375" style="330" customWidth="1"/>
    <col min="12566" max="12566" width="10.44140625" style="330" customWidth="1"/>
    <col min="12567" max="12798" width="8.88671875" style="330"/>
    <col min="12799" max="12799" width="63.5546875" style="330" bestFit="1" customWidth="1"/>
    <col min="12800" max="12800" width="10.6640625" style="330" bestFit="1" customWidth="1"/>
    <col min="12801" max="12811" width="9.109375" style="330" customWidth="1"/>
    <col min="12812" max="12812" width="14.88671875" style="330" bestFit="1" customWidth="1"/>
    <col min="12813" max="12821" width="9.109375" style="330" customWidth="1"/>
    <col min="12822" max="12822" width="10.44140625" style="330" customWidth="1"/>
    <col min="12823" max="13054" width="8.88671875" style="330"/>
    <col min="13055" max="13055" width="63.5546875" style="330" bestFit="1" customWidth="1"/>
    <col min="13056" max="13056" width="10.6640625" style="330" bestFit="1" customWidth="1"/>
    <col min="13057" max="13067" width="9.109375" style="330" customWidth="1"/>
    <col min="13068" max="13068" width="14.88671875" style="330" bestFit="1" customWidth="1"/>
    <col min="13069" max="13077" width="9.109375" style="330" customWidth="1"/>
    <col min="13078" max="13078" width="10.44140625" style="330" customWidth="1"/>
    <col min="13079" max="13310" width="8.88671875" style="330"/>
    <col min="13311" max="13311" width="63.5546875" style="330" bestFit="1" customWidth="1"/>
    <col min="13312" max="13312" width="10.6640625" style="330" bestFit="1" customWidth="1"/>
    <col min="13313" max="13323" width="9.109375" style="330" customWidth="1"/>
    <col min="13324" max="13324" width="14.88671875" style="330" bestFit="1" customWidth="1"/>
    <col min="13325" max="13333" width="9.109375" style="330" customWidth="1"/>
    <col min="13334" max="13334" width="10.44140625" style="330" customWidth="1"/>
    <col min="13335" max="13566" width="8.88671875" style="330"/>
    <col min="13567" max="13567" width="63.5546875" style="330" bestFit="1" customWidth="1"/>
    <col min="13568" max="13568" width="10.6640625" style="330" bestFit="1" customWidth="1"/>
    <col min="13569" max="13579" width="9.109375" style="330" customWidth="1"/>
    <col min="13580" max="13580" width="14.88671875" style="330" bestFit="1" customWidth="1"/>
    <col min="13581" max="13589" width="9.109375" style="330" customWidth="1"/>
    <col min="13590" max="13590" width="10.44140625" style="330" customWidth="1"/>
    <col min="13591" max="13822" width="8.88671875" style="330"/>
    <col min="13823" max="13823" width="63.5546875" style="330" bestFit="1" customWidth="1"/>
    <col min="13824" max="13824" width="10.6640625" style="330" bestFit="1" customWidth="1"/>
    <col min="13825" max="13835" width="9.109375" style="330" customWidth="1"/>
    <col min="13836" max="13836" width="14.88671875" style="330" bestFit="1" customWidth="1"/>
    <col min="13837" max="13845" width="9.109375" style="330" customWidth="1"/>
    <col min="13846" max="13846" width="10.44140625" style="330" customWidth="1"/>
    <col min="13847" max="14078" width="8.88671875" style="330"/>
    <col min="14079" max="14079" width="63.5546875" style="330" bestFit="1" customWidth="1"/>
    <col min="14080" max="14080" width="10.6640625" style="330" bestFit="1" customWidth="1"/>
    <col min="14081" max="14091" width="9.109375" style="330" customWidth="1"/>
    <col min="14092" max="14092" width="14.88671875" style="330" bestFit="1" customWidth="1"/>
    <col min="14093" max="14101" width="9.109375" style="330" customWidth="1"/>
    <col min="14102" max="14102" width="10.44140625" style="330" customWidth="1"/>
    <col min="14103" max="14334" width="8.88671875" style="330"/>
    <col min="14335" max="14335" width="63.5546875" style="330" bestFit="1" customWidth="1"/>
    <col min="14336" max="14336" width="10.6640625" style="330" bestFit="1" customWidth="1"/>
    <col min="14337" max="14347" width="9.109375" style="330" customWidth="1"/>
    <col min="14348" max="14348" width="14.88671875" style="330" bestFit="1" customWidth="1"/>
    <col min="14349" max="14357" width="9.109375" style="330" customWidth="1"/>
    <col min="14358" max="14358" width="10.44140625" style="330" customWidth="1"/>
    <col min="14359" max="14590" width="8.88671875" style="330"/>
    <col min="14591" max="14591" width="63.5546875" style="330" bestFit="1" customWidth="1"/>
    <col min="14592" max="14592" width="10.6640625" style="330" bestFit="1" customWidth="1"/>
    <col min="14593" max="14603" width="9.109375" style="330" customWidth="1"/>
    <col min="14604" max="14604" width="14.88671875" style="330" bestFit="1" customWidth="1"/>
    <col min="14605" max="14613" width="9.109375" style="330" customWidth="1"/>
    <col min="14614" max="14614" width="10.44140625" style="330" customWidth="1"/>
    <col min="14615" max="14846" width="8.88671875" style="330"/>
    <col min="14847" max="14847" width="63.5546875" style="330" bestFit="1" customWidth="1"/>
    <col min="14848" max="14848" width="10.6640625" style="330" bestFit="1" customWidth="1"/>
    <col min="14849" max="14859" width="9.109375" style="330" customWidth="1"/>
    <col min="14860" max="14860" width="14.88671875" style="330" bestFit="1" customWidth="1"/>
    <col min="14861" max="14869" width="9.109375" style="330" customWidth="1"/>
    <col min="14870" max="14870" width="10.44140625" style="330" customWidth="1"/>
    <col min="14871" max="15102" width="8.88671875" style="330"/>
    <col min="15103" max="15103" width="63.5546875" style="330" bestFit="1" customWidth="1"/>
    <col min="15104" max="15104" width="10.6640625" style="330" bestFit="1" customWidth="1"/>
    <col min="15105" max="15115" width="9.109375" style="330" customWidth="1"/>
    <col min="15116" max="15116" width="14.88671875" style="330" bestFit="1" customWidth="1"/>
    <col min="15117" max="15125" width="9.109375" style="330" customWidth="1"/>
    <col min="15126" max="15126" width="10.44140625" style="330" customWidth="1"/>
    <col min="15127" max="15358" width="8.88671875" style="330"/>
    <col min="15359" max="15359" width="63.5546875" style="330" bestFit="1" customWidth="1"/>
    <col min="15360" max="15360" width="10.6640625" style="330" bestFit="1" customWidth="1"/>
    <col min="15361" max="15371" width="9.109375" style="330" customWidth="1"/>
    <col min="15372" max="15372" width="14.88671875" style="330" bestFit="1" customWidth="1"/>
    <col min="15373" max="15381" width="9.109375" style="330" customWidth="1"/>
    <col min="15382" max="15382" width="10.44140625" style="330" customWidth="1"/>
    <col min="15383" max="15614" width="8.88671875" style="330"/>
    <col min="15615" max="15615" width="63.5546875" style="330" bestFit="1" customWidth="1"/>
    <col min="15616" max="15616" width="10.6640625" style="330" bestFit="1" customWidth="1"/>
    <col min="15617" max="15627" width="9.109375" style="330" customWidth="1"/>
    <col min="15628" max="15628" width="14.88671875" style="330" bestFit="1" customWidth="1"/>
    <col min="15629" max="15637" width="9.109375" style="330" customWidth="1"/>
    <col min="15638" max="15638" width="10.44140625" style="330" customWidth="1"/>
    <col min="15639" max="15870" width="8.88671875" style="330"/>
    <col min="15871" max="15871" width="63.5546875" style="330" bestFit="1" customWidth="1"/>
    <col min="15872" max="15872" width="10.6640625" style="330" bestFit="1" customWidth="1"/>
    <col min="15873" max="15883" width="9.109375" style="330" customWidth="1"/>
    <col min="15884" max="15884" width="14.88671875" style="330" bestFit="1" customWidth="1"/>
    <col min="15885" max="15893" width="9.109375" style="330" customWidth="1"/>
    <col min="15894" max="15894" width="10.44140625" style="330" customWidth="1"/>
    <col min="15895" max="16126" width="8.88671875" style="330"/>
    <col min="16127" max="16127" width="63.5546875" style="330" bestFit="1" customWidth="1"/>
    <col min="16128" max="16128" width="10.6640625" style="330" bestFit="1" customWidth="1"/>
    <col min="16129" max="16139" width="9.109375" style="330" customWidth="1"/>
    <col min="16140" max="16140" width="14.88671875" style="330" bestFit="1" customWidth="1"/>
    <col min="16141" max="16149" width="9.109375" style="330" customWidth="1"/>
    <col min="16150" max="16150" width="10.44140625" style="330" customWidth="1"/>
    <col min="16151" max="16382" width="8.88671875" style="330"/>
    <col min="16383" max="16384" width="12.6640625" style="330" customWidth="1"/>
  </cols>
  <sheetData>
    <row r="1" spans="1:17" s="324" customFormat="1" ht="16.2">
      <c r="A1" s="624" t="s">
        <v>209</v>
      </c>
      <c r="B1" s="624"/>
      <c r="C1" s="625"/>
      <c r="D1" s="625"/>
      <c r="E1" s="625"/>
      <c r="F1" s="625"/>
      <c r="G1" s="625"/>
      <c r="H1" s="625"/>
      <c r="I1" s="625"/>
      <c r="J1" s="625"/>
      <c r="K1" s="625"/>
      <c r="L1" s="625"/>
      <c r="M1" s="625"/>
      <c r="N1" s="625"/>
      <c r="O1" s="625"/>
      <c r="Q1" s="325"/>
    </row>
    <row r="2" spans="1:17" s="324" customFormat="1" ht="15.6">
      <c r="A2" s="626" t="s">
        <v>213</v>
      </c>
      <c r="B2" s="626"/>
      <c r="C2" s="627"/>
      <c r="D2" s="627"/>
      <c r="E2" s="627"/>
      <c r="F2" s="627"/>
      <c r="G2" s="627"/>
      <c r="H2" s="627"/>
      <c r="I2" s="627"/>
      <c r="J2" s="627"/>
      <c r="K2" s="627"/>
      <c r="L2" s="627"/>
      <c r="M2" s="627"/>
      <c r="N2" s="627"/>
      <c r="O2" s="627"/>
      <c r="Q2" s="325"/>
    </row>
    <row r="3" spans="1:17" s="324" customFormat="1" ht="15.6">
      <c r="A3" s="628" t="str">
        <f>'Fund 0666'!A3:O3</f>
        <v>Data Through December 31, 2021</v>
      </c>
      <c r="B3" s="628"/>
      <c r="C3" s="629"/>
      <c r="D3" s="629"/>
      <c r="E3" s="629"/>
      <c r="F3" s="629"/>
      <c r="G3" s="629"/>
      <c r="H3" s="629"/>
      <c r="I3" s="629"/>
      <c r="J3" s="629"/>
      <c r="K3" s="629"/>
      <c r="L3" s="629"/>
      <c r="M3" s="629"/>
      <c r="N3" s="629"/>
      <c r="O3" s="629"/>
      <c r="Q3" s="325"/>
    </row>
    <row r="4" spans="1:17" s="324" customFormat="1">
      <c r="A4" s="326"/>
      <c r="B4" s="326"/>
      <c r="C4" s="322"/>
      <c r="D4" s="322"/>
      <c r="E4" s="322"/>
      <c r="F4" s="322"/>
      <c r="G4" s="322"/>
      <c r="H4" s="322"/>
      <c r="I4" s="327"/>
      <c r="J4" s="327"/>
      <c r="K4" s="327"/>
      <c r="L4" s="319"/>
      <c r="M4" s="319"/>
      <c r="N4" s="319"/>
      <c r="O4" s="319"/>
      <c r="Q4" s="325"/>
    </row>
    <row r="5" spans="1:17" ht="15.6">
      <c r="A5" s="91"/>
      <c r="B5" s="91"/>
      <c r="C5" s="85"/>
      <c r="D5" s="85"/>
      <c r="E5" s="85"/>
      <c r="F5" s="85"/>
      <c r="G5" s="85"/>
      <c r="H5" s="85"/>
      <c r="I5" s="93"/>
      <c r="J5" s="93"/>
      <c r="K5" s="93"/>
      <c r="L5" s="85"/>
      <c r="M5" s="85"/>
      <c r="N5" s="85"/>
      <c r="O5" s="85"/>
    </row>
    <row r="6" spans="1:17" ht="15.6">
      <c r="A6" s="91"/>
      <c r="B6" s="91"/>
      <c r="C6" s="347"/>
      <c r="D6" s="347"/>
      <c r="E6" s="347"/>
      <c r="F6" s="347"/>
      <c r="G6" s="347"/>
      <c r="H6" s="347"/>
      <c r="I6" s="347"/>
      <c r="J6" s="347"/>
      <c r="K6" s="347"/>
      <c r="L6" s="347"/>
      <c r="M6" s="347"/>
      <c r="N6" s="347"/>
      <c r="O6" s="347" t="s">
        <v>563</v>
      </c>
    </row>
    <row r="7" spans="1:17" s="332" customFormat="1" ht="16.2" thickBot="1">
      <c r="A7" s="92"/>
      <c r="B7" s="92"/>
      <c r="C7" s="321" t="s">
        <v>528</v>
      </c>
      <c r="D7" s="321" t="s">
        <v>529</v>
      </c>
      <c r="E7" s="321" t="s">
        <v>530</v>
      </c>
      <c r="F7" s="321" t="s">
        <v>531</v>
      </c>
      <c r="G7" s="321" t="s">
        <v>532</v>
      </c>
      <c r="H7" s="321" t="s">
        <v>533</v>
      </c>
      <c r="I7" s="321" t="s">
        <v>534</v>
      </c>
      <c r="J7" s="321" t="s">
        <v>535</v>
      </c>
      <c r="K7" s="321" t="s">
        <v>536</v>
      </c>
      <c r="L7" s="321" t="s">
        <v>537</v>
      </c>
      <c r="M7" s="321" t="s">
        <v>538</v>
      </c>
      <c r="N7" s="321" t="s">
        <v>539</v>
      </c>
      <c r="O7" s="362" t="str">
        <f>'Fund 0666'!O7</f>
        <v>as of 12/31/21</v>
      </c>
      <c r="Q7" s="331"/>
    </row>
    <row r="8" spans="1:17" ht="16.2" thickTop="1">
      <c r="A8" s="91"/>
      <c r="B8" s="91"/>
      <c r="C8" s="85"/>
      <c r="D8" s="85"/>
      <c r="E8" s="85"/>
      <c r="F8" s="85"/>
      <c r="G8" s="85"/>
      <c r="H8" s="85"/>
      <c r="I8" s="93"/>
      <c r="J8" s="94"/>
      <c r="K8" s="94"/>
      <c r="L8" s="85"/>
      <c r="M8" s="85"/>
      <c r="N8" s="85"/>
      <c r="O8" s="85"/>
    </row>
    <row r="9" spans="1:17" ht="16.2" thickBot="1">
      <c r="A9" s="341" t="s">
        <v>212</v>
      </c>
      <c r="B9" s="35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3" t="s">
        <v>208</v>
      </c>
      <c r="B11" s="363"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4" customFormat="1" ht="15.6">
      <c r="A16" s="102" t="s">
        <v>214</v>
      </c>
      <c r="B16" s="361" t="s">
        <v>103</v>
      </c>
      <c r="C16" s="85">
        <v>1087.8399999999999</v>
      </c>
      <c r="D16" s="104">
        <v>40364.879999999997</v>
      </c>
      <c r="E16" s="103">
        <v>37703.85</v>
      </c>
      <c r="F16" s="103">
        <v>29949.81</v>
      </c>
      <c r="G16" s="382"/>
      <c r="H16" s="85"/>
      <c r="I16" s="382"/>
      <c r="J16" s="103"/>
      <c r="K16" s="103"/>
      <c r="L16" s="382"/>
      <c r="M16" s="85"/>
      <c r="N16" s="85"/>
      <c r="O16" s="103">
        <f t="shared" ref="O16" si="2">ROUND(SUM(C16:N16),0)</f>
        <v>109106</v>
      </c>
      <c r="Q16" s="335"/>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4" t="s">
        <v>207</v>
      </c>
      <c r="B21" s="364"/>
      <c r="C21" s="88">
        <f>ROUND((SUM(C13:C20)),0)</f>
        <v>1088</v>
      </c>
      <c r="D21" s="88">
        <f t="shared" ref="D21:M21" si="3">ROUND((SUM(D13:D20)),0)</f>
        <v>40365</v>
      </c>
      <c r="E21" s="88">
        <f t="shared" si="3"/>
        <v>37704</v>
      </c>
      <c r="F21" s="88">
        <f t="shared" si="3"/>
        <v>29950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109106</v>
      </c>
    </row>
    <row r="22" spans="1:17" ht="15.6">
      <c r="A22" s="91"/>
      <c r="B22" s="91"/>
      <c r="C22" s="85"/>
      <c r="D22" s="85"/>
      <c r="E22" s="85"/>
      <c r="F22" s="85"/>
      <c r="G22" s="85"/>
      <c r="H22" s="85"/>
      <c r="I22" s="98"/>
      <c r="J22" s="98"/>
      <c r="K22" s="98"/>
      <c r="L22" s="85"/>
      <c r="M22" s="85"/>
      <c r="N22" s="85"/>
      <c r="O22" s="85"/>
    </row>
    <row r="23" spans="1:17" ht="15.6">
      <c r="A23" s="363" t="s">
        <v>206</v>
      </c>
      <c r="B23" s="363"/>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0</v>
      </c>
      <c r="H25" s="85">
        <f t="shared" si="4"/>
        <v>0</v>
      </c>
      <c r="I25" s="85">
        <f t="shared" si="4"/>
        <v>0</v>
      </c>
      <c r="J25" s="85">
        <f t="shared" si="4"/>
        <v>0</v>
      </c>
      <c r="K25" s="85">
        <f t="shared" si="4"/>
        <v>0</v>
      </c>
      <c r="L25" s="85">
        <f t="shared" si="4"/>
        <v>0</v>
      </c>
      <c r="M25" s="85">
        <f t="shared" si="4"/>
        <v>0</v>
      </c>
      <c r="N25" s="85">
        <f>ROUND(-N21,0)</f>
        <v>0</v>
      </c>
      <c r="O25" s="85">
        <f>-O21</f>
        <v>-109106</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3" t="s">
        <v>205</v>
      </c>
      <c r="B28" s="363"/>
      <c r="C28" s="88">
        <f>ROUND(SUM(C24:C27),0)</f>
        <v>-1088</v>
      </c>
      <c r="D28" s="88">
        <f>ROUND(SUM(D24:D27),0)</f>
        <v>-40365</v>
      </c>
      <c r="E28" s="88">
        <f>ROUND(SUM(E24:E27),0)</f>
        <v>-37704</v>
      </c>
      <c r="F28" s="88">
        <f>ROUND(SUM(F24:F27),0)</f>
        <v>-29950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-109106</v>
      </c>
    </row>
    <row r="29" spans="1:17" ht="15.6">
      <c r="A29" s="91"/>
      <c r="B29" s="91"/>
      <c r="C29" s="85"/>
      <c r="D29" s="85"/>
      <c r="E29" s="85"/>
      <c r="F29" s="85"/>
      <c r="G29" s="85"/>
      <c r="H29" s="85"/>
      <c r="I29" s="98"/>
      <c r="J29" s="98"/>
      <c r="K29" s="98"/>
      <c r="L29" s="85"/>
      <c r="M29" s="85"/>
      <c r="N29" s="85"/>
      <c r="O29" s="85"/>
    </row>
    <row r="30" spans="1:17" ht="16.2" thickBot="1">
      <c r="A30" s="341" t="s">
        <v>204</v>
      </c>
      <c r="B30" s="341"/>
      <c r="C30" s="344">
        <f>ROUND(+C9+C21+C28,0)</f>
        <v>0</v>
      </c>
      <c r="D30" s="344">
        <f t="shared" ref="D30:N30" si="6">ROUND(+D9+D21+D28,0)</f>
        <v>0</v>
      </c>
      <c r="E30" s="344">
        <f t="shared" si="6"/>
        <v>0</v>
      </c>
      <c r="F30" s="344">
        <f t="shared" si="6"/>
        <v>0</v>
      </c>
      <c r="G30" s="344">
        <f t="shared" si="6"/>
        <v>0</v>
      </c>
      <c r="H30" s="344">
        <f t="shared" si="6"/>
        <v>0</v>
      </c>
      <c r="I30" s="344">
        <f t="shared" si="6"/>
        <v>0</v>
      </c>
      <c r="J30" s="344">
        <f t="shared" si="6"/>
        <v>0</v>
      </c>
      <c r="K30" s="344">
        <f t="shared" si="6"/>
        <v>0</v>
      </c>
      <c r="L30" s="344">
        <f t="shared" si="6"/>
        <v>0</v>
      </c>
      <c r="M30" s="344">
        <f t="shared" si="6"/>
        <v>0</v>
      </c>
      <c r="N30" s="344">
        <f t="shared" si="6"/>
        <v>0</v>
      </c>
      <c r="O30" s="344">
        <f>ROUND(+O9+O21+O28,0)</f>
        <v>0</v>
      </c>
      <c r="Q30" s="330"/>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3"/>
    </row>
    <row r="41" spans="1:15">
      <c r="D41" s="333"/>
    </row>
    <row r="42" spans="1:15">
      <c r="D42" s="333"/>
    </row>
    <row r="43" spans="1:15">
      <c r="D43" s="33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3" zoomScaleNormal="83" zoomScaleSheetLayoutView="80" workbookViewId="0">
      <pane ySplit="6" topLeftCell="A7" activePane="bottomLeft" state="frozen"/>
      <selection activeCell="AM66" sqref="AM66"/>
      <selection pane="bottomLeft" activeCell="C24" sqref="C24"/>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6" t="s">
        <v>3</v>
      </c>
      <c r="B1" s="226"/>
      <c r="C1" s="226"/>
      <c r="D1" s="226"/>
      <c r="E1" s="226"/>
      <c r="F1" s="226"/>
      <c r="G1" s="226"/>
      <c r="H1" s="226"/>
      <c r="I1" s="226"/>
      <c r="J1" s="226"/>
      <c r="K1" s="226"/>
      <c r="L1" s="226"/>
      <c r="M1" s="226"/>
    </row>
    <row r="2" spans="1:15" s="9" customFormat="1" ht="15.6">
      <c r="A2" s="227" t="s">
        <v>515</v>
      </c>
      <c r="B2" s="227"/>
      <c r="C2" s="227"/>
      <c r="D2" s="227"/>
      <c r="E2" s="227"/>
      <c r="F2" s="227"/>
      <c r="G2" s="227"/>
      <c r="H2" s="227"/>
      <c r="I2" s="227"/>
      <c r="J2" s="227"/>
      <c r="K2" s="227"/>
      <c r="L2" s="227"/>
      <c r="M2" s="227"/>
    </row>
    <row r="3" spans="1:15" s="9" customFormat="1" ht="15.6">
      <c r="A3" s="151" t="str">
        <f>'Schedule 1'!A3:L3</f>
        <v>Data Through December 31, 2021</v>
      </c>
      <c r="B3" s="227"/>
      <c r="C3" s="227"/>
      <c r="D3" s="227"/>
      <c r="E3" s="227"/>
      <c r="F3" s="227"/>
      <c r="G3" s="227"/>
      <c r="H3" s="227"/>
      <c r="I3" s="227"/>
      <c r="J3" s="227"/>
      <c r="K3" s="227"/>
      <c r="L3" s="227"/>
      <c r="M3" s="227"/>
    </row>
    <row r="4" spans="1:15" s="9" customFormat="1" ht="15.6">
      <c r="A4" s="151"/>
      <c r="B4" s="227"/>
      <c r="C4" s="227"/>
      <c r="D4" s="227"/>
      <c r="E4" s="227"/>
      <c r="F4" s="227"/>
      <c r="G4" s="227"/>
      <c r="H4" s="227"/>
      <c r="I4" s="227"/>
      <c r="J4" s="227"/>
      <c r="K4" s="227"/>
      <c r="L4" s="227"/>
      <c r="M4" s="227"/>
    </row>
    <row r="5" spans="1:15" s="8" customFormat="1" ht="15.6">
      <c r="A5" s="228"/>
      <c r="B5" s="228"/>
      <c r="C5" s="228"/>
      <c r="D5" s="228"/>
      <c r="E5" s="228"/>
      <c r="F5" s="229"/>
      <c r="G5" s="229"/>
      <c r="H5" s="229"/>
      <c r="I5" s="228"/>
      <c r="J5" s="228"/>
      <c r="K5" s="228"/>
      <c r="L5" s="228"/>
      <c r="M5" s="228"/>
    </row>
    <row r="6" spans="1:15" s="27" customFormat="1" ht="32.25" customHeight="1">
      <c r="A6" s="230"/>
      <c r="B6" s="230" t="s">
        <v>39</v>
      </c>
      <c r="C6" s="230" t="s">
        <v>29</v>
      </c>
      <c r="D6" s="230" t="s">
        <v>145</v>
      </c>
      <c r="E6" s="230" t="s">
        <v>149</v>
      </c>
      <c r="F6" s="230" t="s">
        <v>187</v>
      </c>
      <c r="G6" s="230" t="s">
        <v>144</v>
      </c>
      <c r="H6" s="230" t="s">
        <v>31</v>
      </c>
      <c r="I6" s="230" t="s">
        <v>46</v>
      </c>
      <c r="J6" s="230" t="s">
        <v>47</v>
      </c>
      <c r="K6" s="230" t="s">
        <v>256</v>
      </c>
      <c r="L6" s="230" t="s">
        <v>32</v>
      </c>
      <c r="M6" s="230" t="s">
        <v>33</v>
      </c>
      <c r="N6" s="231"/>
    </row>
    <row r="7" spans="1:15" s="28" customFormat="1" ht="18" customHeight="1">
      <c r="A7" s="630" t="s">
        <v>40</v>
      </c>
      <c r="B7" s="631"/>
      <c r="C7" s="232"/>
      <c r="D7" s="232"/>
      <c r="E7" s="233"/>
      <c r="F7" s="233"/>
      <c r="G7" s="233"/>
      <c r="H7" s="233"/>
      <c r="I7" s="232"/>
      <c r="J7" s="232"/>
      <c r="K7" s="232"/>
      <c r="L7" s="232"/>
      <c r="M7" s="232"/>
      <c r="N7" s="234"/>
    </row>
    <row r="8" spans="1:15" s="28" customFormat="1" ht="18" customHeight="1">
      <c r="A8" s="353" t="s">
        <v>519</v>
      </c>
      <c r="B8" s="236" t="s">
        <v>380</v>
      </c>
      <c r="C8" s="237">
        <v>9119119</v>
      </c>
      <c r="D8" s="237">
        <v>-54536</v>
      </c>
      <c r="E8" s="237"/>
      <c r="F8" s="238" t="s">
        <v>196</v>
      </c>
      <c r="G8" s="237">
        <v>0</v>
      </c>
      <c r="H8" s="238"/>
      <c r="I8" s="237">
        <v>9064583</v>
      </c>
      <c r="J8" s="237">
        <v>1079127.1000000008</v>
      </c>
      <c r="K8" s="237">
        <v>5480878.3399999999</v>
      </c>
      <c r="L8" s="237">
        <v>9064583</v>
      </c>
      <c r="M8" s="237">
        <f>I8-L8</f>
        <v>0</v>
      </c>
      <c r="N8" s="239">
        <f>D8-I8+C8</f>
        <v>0</v>
      </c>
      <c r="O8" s="29"/>
    </row>
    <row r="9" spans="1:15" s="28" customFormat="1" ht="18" customHeight="1">
      <c r="A9" s="235" t="s">
        <v>518</v>
      </c>
      <c r="B9" s="236" t="s">
        <v>153</v>
      </c>
      <c r="C9" s="237">
        <v>6000000</v>
      </c>
      <c r="D9" s="237">
        <v>-12092</v>
      </c>
      <c r="E9" s="237"/>
      <c r="F9" s="238" t="s">
        <v>196</v>
      </c>
      <c r="G9" s="237">
        <v>0</v>
      </c>
      <c r="H9" s="238"/>
      <c r="I9" s="237">
        <v>5987908</v>
      </c>
      <c r="J9" s="237">
        <v>998814.63999999978</v>
      </c>
      <c r="K9" s="237">
        <v>4193923.14</v>
      </c>
      <c r="L9" s="237">
        <v>5987908</v>
      </c>
      <c r="M9" s="237">
        <f>I9-L9</f>
        <v>0</v>
      </c>
      <c r="N9" s="239">
        <f t="shared" ref="N9:N24" si="0">D9-I9+C9</f>
        <v>0</v>
      </c>
      <c r="O9" s="105"/>
    </row>
    <row r="10" spans="1:15" s="28" customFormat="1" ht="18" customHeight="1">
      <c r="A10" s="235" t="s">
        <v>520</v>
      </c>
      <c r="B10" s="236" t="s">
        <v>381</v>
      </c>
      <c r="C10" s="237">
        <v>630000</v>
      </c>
      <c r="D10" s="237">
        <v>-3781</v>
      </c>
      <c r="E10" s="237"/>
      <c r="F10" s="238" t="s">
        <v>196</v>
      </c>
      <c r="G10" s="237">
        <v>0</v>
      </c>
      <c r="H10" s="238"/>
      <c r="I10" s="237">
        <v>626219</v>
      </c>
      <c r="J10" s="237">
        <v>252474.85000000003</v>
      </c>
      <c r="K10" s="237">
        <v>336630.1</v>
      </c>
      <c r="L10" s="237">
        <v>626219</v>
      </c>
      <c r="M10" s="237">
        <f>I10-L10</f>
        <v>0</v>
      </c>
      <c r="N10" s="239">
        <f t="shared" si="0"/>
        <v>0</v>
      </c>
    </row>
    <row r="11" spans="1:15" s="28" customFormat="1" ht="18" customHeight="1">
      <c r="A11" s="423" t="s">
        <v>521</v>
      </c>
      <c r="B11" s="236" t="s">
        <v>469</v>
      </c>
      <c r="C11" s="237">
        <v>2270399</v>
      </c>
      <c r="D11" s="237">
        <v>0</v>
      </c>
      <c r="E11" s="237"/>
      <c r="F11" s="238" t="s">
        <v>193</v>
      </c>
      <c r="G11" s="237">
        <v>0</v>
      </c>
      <c r="H11" s="238"/>
      <c r="I11" s="237">
        <v>2270399</v>
      </c>
      <c r="J11" s="237">
        <v>60085.500000000007</v>
      </c>
      <c r="K11" s="237">
        <v>332010.59000000003</v>
      </c>
      <c r="L11" s="237">
        <v>2270399</v>
      </c>
      <c r="M11" s="237">
        <f t="shared" ref="M11:M12" si="1">I11-L11</f>
        <v>0</v>
      </c>
      <c r="N11" s="239">
        <f t="shared" si="0"/>
        <v>0</v>
      </c>
    </row>
    <row r="12" spans="1:15" s="28" customFormat="1" ht="18" customHeight="1">
      <c r="A12" s="235" t="s">
        <v>522</v>
      </c>
      <c r="B12" s="236" t="s">
        <v>111</v>
      </c>
      <c r="C12" s="237">
        <v>9154633</v>
      </c>
      <c r="D12" s="237">
        <v>-149949</v>
      </c>
      <c r="E12" s="237"/>
      <c r="F12" s="238" t="s">
        <v>196</v>
      </c>
      <c r="G12" s="237">
        <v>0</v>
      </c>
      <c r="H12" s="238"/>
      <c r="I12" s="237">
        <v>9004684</v>
      </c>
      <c r="J12" s="237">
        <v>926367.88999999978</v>
      </c>
      <c r="K12" s="237">
        <v>1182140.9200000002</v>
      </c>
      <c r="L12" s="237">
        <v>9004684</v>
      </c>
      <c r="M12" s="237">
        <f t="shared" si="1"/>
        <v>0</v>
      </c>
      <c r="N12" s="239">
        <f t="shared" si="0"/>
        <v>0</v>
      </c>
    </row>
    <row r="13" spans="1:15" s="28" customFormat="1" ht="18" customHeight="1">
      <c r="A13" s="235" t="s">
        <v>487</v>
      </c>
      <c r="B13" s="236" t="s">
        <v>489</v>
      </c>
      <c r="C13" s="237">
        <v>0</v>
      </c>
      <c r="D13" s="237">
        <v>2230712</v>
      </c>
      <c r="E13" s="237"/>
      <c r="F13" s="238" t="s">
        <v>481</v>
      </c>
      <c r="G13" s="237">
        <v>0</v>
      </c>
      <c r="H13" s="238"/>
      <c r="I13" s="237">
        <v>2230712</v>
      </c>
      <c r="J13" s="237">
        <v>93792.339999999953</v>
      </c>
      <c r="K13" s="237"/>
      <c r="L13" s="237">
        <v>2230712</v>
      </c>
      <c r="M13" s="237">
        <f t="shared" ref="M13:M14" si="2">I13-L13</f>
        <v>0</v>
      </c>
      <c r="N13" s="239">
        <f t="shared" si="0"/>
        <v>0</v>
      </c>
    </row>
    <row r="14" spans="1:15" s="28" customFormat="1" ht="18" customHeight="1">
      <c r="A14" s="235" t="s">
        <v>488</v>
      </c>
      <c r="B14" s="236" t="s">
        <v>490</v>
      </c>
      <c r="C14" s="237">
        <v>0</v>
      </c>
      <c r="D14" s="237">
        <v>3413248</v>
      </c>
      <c r="E14" s="237"/>
      <c r="F14" s="238" t="s">
        <v>481</v>
      </c>
      <c r="G14" s="237">
        <v>0</v>
      </c>
      <c r="H14" s="238"/>
      <c r="I14" s="237">
        <v>3413248</v>
      </c>
      <c r="J14" s="237">
        <v>843478.35999999964</v>
      </c>
      <c r="K14" s="237"/>
      <c r="L14" s="237">
        <v>3413248</v>
      </c>
      <c r="M14" s="237">
        <f t="shared" si="2"/>
        <v>0</v>
      </c>
      <c r="N14" s="239">
        <f t="shared" si="0"/>
        <v>0</v>
      </c>
    </row>
    <row r="15" spans="1:15" s="31" customFormat="1" ht="18" customHeight="1">
      <c r="A15" s="240" t="s">
        <v>191</v>
      </c>
      <c r="B15" s="241"/>
      <c r="C15" s="242">
        <f>SUM(C8:C14)</f>
        <v>27174151</v>
      </c>
      <c r="D15" s="242">
        <v>5423602</v>
      </c>
      <c r="E15" s="242">
        <f>SUM(E8:E14)</f>
        <v>0</v>
      </c>
      <c r="F15" s="242"/>
      <c r="G15" s="242">
        <f>SUM(G8:G14)</f>
        <v>0</v>
      </c>
      <c r="H15" s="242"/>
      <c r="I15" s="242">
        <f>SUM(I8:I14)</f>
        <v>32597753</v>
      </c>
      <c r="J15" s="242">
        <f>SUM(J8:J14)</f>
        <v>4254140.68</v>
      </c>
      <c r="K15" s="242">
        <f>SUM(K8:K14)</f>
        <v>11525583.09</v>
      </c>
      <c r="L15" s="242">
        <f>SUM(L8:L14)</f>
        <v>32597753</v>
      </c>
      <c r="M15" s="242">
        <f>SUM(M8:M12)</f>
        <v>0</v>
      </c>
      <c r="N15" s="239">
        <f t="shared" si="0"/>
        <v>0</v>
      </c>
    </row>
    <row r="16" spans="1:15" s="32" customFormat="1" ht="18" customHeight="1">
      <c r="A16" s="243"/>
      <c r="B16" s="244"/>
      <c r="C16" s="243"/>
      <c r="D16" s="243"/>
      <c r="E16" s="245"/>
      <c r="F16" s="246"/>
      <c r="G16" s="247"/>
      <c r="H16" s="246"/>
      <c r="I16" s="243"/>
      <c r="J16" s="243"/>
      <c r="K16" s="243"/>
      <c r="L16" s="243"/>
      <c r="M16" s="243"/>
      <c r="N16" s="239">
        <f t="shared" si="0"/>
        <v>0</v>
      </c>
    </row>
    <row r="17" spans="1:14" s="30" customFormat="1" ht="18" customHeight="1" thickBot="1">
      <c r="A17" s="248" t="s">
        <v>192</v>
      </c>
      <c r="B17" s="249"/>
      <c r="C17" s="250">
        <f>C15</f>
        <v>27174151</v>
      </c>
      <c r="D17" s="250">
        <v>5423602</v>
      </c>
      <c r="E17" s="250">
        <f t="shared" ref="E17:M17" si="3">E15</f>
        <v>0</v>
      </c>
      <c r="F17" s="250"/>
      <c r="G17" s="250">
        <f t="shared" si="3"/>
        <v>0</v>
      </c>
      <c r="H17" s="250"/>
      <c r="I17" s="250">
        <f t="shared" si="3"/>
        <v>32597753</v>
      </c>
      <c r="J17" s="250">
        <f t="shared" si="3"/>
        <v>4254140.68</v>
      </c>
      <c r="K17" s="449">
        <f t="shared" si="3"/>
        <v>11525583.09</v>
      </c>
      <c r="L17" s="250">
        <f t="shared" si="3"/>
        <v>32597753</v>
      </c>
      <c r="M17" s="250">
        <f t="shared" si="3"/>
        <v>0</v>
      </c>
      <c r="N17" s="239">
        <f t="shared" si="0"/>
        <v>0</v>
      </c>
    </row>
    <row r="18" spans="1:14" s="30" customFormat="1" ht="18" customHeight="1" thickTop="1">
      <c r="A18" s="243"/>
      <c r="B18" s="244"/>
      <c r="C18" s="243"/>
      <c r="D18" s="243"/>
      <c r="E18" s="245"/>
      <c r="F18" s="246"/>
      <c r="G18" s="247"/>
      <c r="H18" s="246"/>
      <c r="I18" s="243"/>
      <c r="J18" s="243"/>
      <c r="K18" s="243"/>
      <c r="L18" s="243"/>
      <c r="M18" s="243"/>
      <c r="N18" s="239">
        <f t="shared" si="0"/>
        <v>0</v>
      </c>
    </row>
    <row r="19" spans="1:14" s="28" customFormat="1" ht="18" customHeight="1">
      <c r="A19" s="243"/>
      <c r="B19" s="244"/>
      <c r="C19" s="243"/>
      <c r="D19" s="243"/>
      <c r="E19" s="245"/>
      <c r="F19" s="246"/>
      <c r="G19" s="247"/>
      <c r="H19" s="246"/>
      <c r="I19" s="243"/>
      <c r="J19" s="243"/>
      <c r="K19" s="243"/>
      <c r="L19" s="243"/>
      <c r="M19" s="243"/>
      <c r="N19" s="239">
        <f t="shared" si="0"/>
        <v>0</v>
      </c>
    </row>
    <row r="20" spans="1:14" s="33" customFormat="1" ht="18" customHeight="1">
      <c r="A20" s="251" t="s">
        <v>41</v>
      </c>
      <c r="B20" s="252"/>
      <c r="C20" s="253"/>
      <c r="D20" s="237"/>
      <c r="E20" s="253"/>
      <c r="F20" s="254"/>
      <c r="G20" s="255"/>
      <c r="H20" s="254"/>
      <c r="I20" s="253"/>
      <c r="J20" s="253"/>
      <c r="K20" s="450"/>
      <c r="L20" s="253"/>
      <c r="M20" s="253"/>
      <c r="N20" s="239">
        <f t="shared" si="0"/>
        <v>0</v>
      </c>
    </row>
    <row r="21" spans="1:14" s="34" customFormat="1" ht="18" customHeight="1">
      <c r="A21" s="256" t="s">
        <v>4</v>
      </c>
      <c r="B21" s="257"/>
      <c r="C21" s="237">
        <v>17258681</v>
      </c>
      <c r="D21" s="237">
        <v>5094631</v>
      </c>
      <c r="E21" s="237"/>
      <c r="F21" s="238"/>
      <c r="G21" s="237">
        <v>0</v>
      </c>
      <c r="H21" s="238"/>
      <c r="I21" s="237">
        <v>22353312</v>
      </c>
      <c r="J21" s="237">
        <v>1281652.9500000009</v>
      </c>
      <c r="K21" s="451">
        <v>9025580</v>
      </c>
      <c r="L21" s="237">
        <v>22353312</v>
      </c>
      <c r="M21" s="237">
        <f>I21-L21</f>
        <v>0</v>
      </c>
      <c r="N21" s="239">
        <f t="shared" si="0"/>
        <v>0</v>
      </c>
    </row>
    <row r="22" spans="1:14" s="28" customFormat="1" ht="18" customHeight="1">
      <c r="A22" s="258"/>
      <c r="B22" s="257" t="s">
        <v>37</v>
      </c>
      <c r="C22" s="259">
        <f>C21</f>
        <v>17258681</v>
      </c>
      <c r="D22" s="237">
        <v>5094631</v>
      </c>
      <c r="E22" s="259">
        <f>E21</f>
        <v>0</v>
      </c>
      <c r="F22" s="260"/>
      <c r="G22" s="259">
        <f>G21</f>
        <v>0</v>
      </c>
      <c r="H22" s="260"/>
      <c r="I22" s="259">
        <f>I21</f>
        <v>22353312</v>
      </c>
      <c r="J22" s="259">
        <f>J21</f>
        <v>1281652.9500000009</v>
      </c>
      <c r="K22" s="452">
        <f>K21</f>
        <v>9025580</v>
      </c>
      <c r="L22" s="259">
        <f>L21</f>
        <v>22353312</v>
      </c>
      <c r="M22" s="237">
        <f>I22-L22</f>
        <v>0</v>
      </c>
      <c r="N22" s="239">
        <f t="shared" si="0"/>
        <v>0</v>
      </c>
    </row>
    <row r="23" spans="1:14" s="28" customFormat="1" ht="18" customHeight="1">
      <c r="A23" s="261" t="s">
        <v>6</v>
      </c>
      <c r="B23" s="257"/>
      <c r="C23" s="237">
        <v>9915470</v>
      </c>
      <c r="D23" s="237">
        <v>328971</v>
      </c>
      <c r="E23" s="237"/>
      <c r="F23" s="238"/>
      <c r="G23" s="237">
        <v>0</v>
      </c>
      <c r="H23" s="238"/>
      <c r="I23" s="237">
        <v>10244441</v>
      </c>
      <c r="J23" s="237">
        <v>1491283.0999999999</v>
      </c>
      <c r="K23" s="451">
        <v>2500003</v>
      </c>
      <c r="L23" s="237">
        <v>10244441</v>
      </c>
      <c r="M23" s="237">
        <f>I23-L23</f>
        <v>0</v>
      </c>
      <c r="N23" s="239">
        <f t="shared" si="0"/>
        <v>0</v>
      </c>
    </row>
    <row r="24" spans="1:14" s="28" customFormat="1" ht="18" customHeight="1" thickBot="1">
      <c r="A24" s="248" t="s">
        <v>35</v>
      </c>
      <c r="B24" s="248"/>
      <c r="C24" s="250">
        <f>SUM(C22,C23)</f>
        <v>27174151</v>
      </c>
      <c r="D24" s="250">
        <v>5423602</v>
      </c>
      <c r="E24" s="250">
        <f>E22+E23</f>
        <v>0</v>
      </c>
      <c r="F24" s="250"/>
      <c r="G24" s="250">
        <f>SUM(G22,G23)</f>
        <v>0</v>
      </c>
      <c r="H24" s="250"/>
      <c r="I24" s="250">
        <f>SUM(I22,I23)</f>
        <v>32597753</v>
      </c>
      <c r="J24" s="250">
        <f>SUM(J22,J23)</f>
        <v>2772936.0500000007</v>
      </c>
      <c r="K24" s="449">
        <f>SUM(K22,K23)</f>
        <v>11525583</v>
      </c>
      <c r="L24" s="250">
        <f>SUM(L22,L23)</f>
        <v>32597753</v>
      </c>
      <c r="M24" s="250">
        <f>SUM(M22,M23)</f>
        <v>0</v>
      </c>
      <c r="N24" s="239">
        <f t="shared" si="0"/>
        <v>0</v>
      </c>
    </row>
    <row r="25" spans="1:14" s="28" customFormat="1" ht="16.5" customHeight="1" thickTop="1">
      <c r="A25" s="252"/>
      <c r="B25" s="257"/>
      <c r="C25" s="262"/>
      <c r="D25" s="262"/>
      <c r="E25" s="262"/>
      <c r="F25" s="262"/>
      <c r="G25" s="262"/>
      <c r="H25" s="262"/>
      <c r="I25" s="262"/>
      <c r="J25" s="262"/>
      <c r="K25" s="262"/>
      <c r="L25" s="262"/>
      <c r="M25" s="262"/>
      <c r="N25" s="239"/>
    </row>
    <row r="26" spans="1:14" s="28" customFormat="1" ht="16.5" customHeight="1">
      <c r="A26" s="263" t="s">
        <v>38</v>
      </c>
      <c r="B26" s="257"/>
      <c r="C26" s="262"/>
      <c r="D26" s="262"/>
      <c r="E26" s="262"/>
      <c r="F26" s="262"/>
      <c r="G26" s="262"/>
      <c r="H26" s="262"/>
      <c r="I26" s="262"/>
      <c r="J26" s="262"/>
      <c r="K26" s="262"/>
      <c r="L26" s="262"/>
      <c r="M26" s="262"/>
      <c r="N26" s="234"/>
    </row>
    <row r="27" spans="1:14" s="28" customFormat="1" ht="16.5" customHeight="1">
      <c r="A27" s="263"/>
      <c r="B27" s="146"/>
      <c r="C27" s="262"/>
      <c r="D27" s="262"/>
      <c r="E27" s="262"/>
      <c r="F27" s="262"/>
      <c r="G27" s="262"/>
      <c r="H27" s="262"/>
      <c r="I27" s="262"/>
      <c r="J27" s="262"/>
      <c r="K27" s="262"/>
      <c r="L27" s="262"/>
      <c r="M27" s="262"/>
      <c r="N27" s="234"/>
    </row>
    <row r="28" spans="1:14" s="28" customFormat="1" ht="16.5" customHeight="1">
      <c r="A28" s="354" t="s">
        <v>196</v>
      </c>
      <c r="B28" s="146" t="s">
        <v>523</v>
      </c>
      <c r="C28" s="266"/>
      <c r="D28" s="265"/>
      <c r="E28" s="265"/>
      <c r="F28" s="265"/>
      <c r="G28" s="265"/>
      <c r="H28" s="265"/>
      <c r="I28" s="265"/>
      <c r="J28" s="265"/>
      <c r="K28" s="265"/>
      <c r="L28" s="265"/>
      <c r="M28" s="265"/>
      <c r="N28" s="234"/>
    </row>
    <row r="29" spans="1:14" s="28" customFormat="1" ht="16.5" customHeight="1">
      <c r="A29" s="354" t="s">
        <v>193</v>
      </c>
      <c r="B29" s="267" t="s">
        <v>524</v>
      </c>
      <c r="C29" s="266"/>
      <c r="D29" s="265"/>
      <c r="E29" s="265"/>
      <c r="F29" s="265"/>
      <c r="G29" s="265"/>
      <c r="H29" s="265"/>
      <c r="I29" s="265"/>
      <c r="J29" s="265"/>
      <c r="K29" s="265"/>
      <c r="L29" s="265"/>
      <c r="M29" s="265"/>
      <c r="N29" s="234"/>
    </row>
    <row r="30" spans="1:14" s="28" customFormat="1" ht="16.5" customHeight="1">
      <c r="A30" s="146" t="s">
        <v>481</v>
      </c>
      <c r="B30" s="267" t="s">
        <v>483</v>
      </c>
      <c r="C30" s="268"/>
      <c r="D30" s="268"/>
      <c r="E30" s="268"/>
      <c r="F30" s="268"/>
      <c r="G30" s="268"/>
      <c r="H30" s="268"/>
      <c r="I30" s="268"/>
      <c r="J30" s="268"/>
      <c r="K30" s="268"/>
      <c r="L30" s="268"/>
      <c r="M30" s="268"/>
      <c r="N30" s="234"/>
    </row>
    <row r="31" spans="1:14" s="28" customFormat="1" ht="16.5" customHeight="1">
      <c r="A31" s="264"/>
      <c r="B31" s="267"/>
      <c r="C31" s="35"/>
      <c r="D31" s="35"/>
      <c r="E31" s="35"/>
      <c r="F31" s="35"/>
      <c r="G31" s="35"/>
      <c r="H31" s="35"/>
      <c r="I31" s="35"/>
      <c r="J31" s="35"/>
      <c r="K31" s="35"/>
      <c r="L31" s="35"/>
      <c r="M31" s="35"/>
    </row>
    <row r="32" spans="1:14" s="28" customFormat="1" ht="15.6">
      <c r="A32" s="345"/>
      <c r="B32" s="234"/>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1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03DA8-3E28-4EEE-91A2-2130FED677BF}">
  <sheetPr>
    <pageSetUpPr fitToPage="1"/>
  </sheetPr>
  <dimension ref="A1:BE27"/>
  <sheetViews>
    <sheetView zoomScale="90" zoomScaleNormal="90" workbookViewId="0">
      <selection activeCell="H5" sqref="H5"/>
    </sheetView>
  </sheetViews>
  <sheetFormatPr defaultRowHeight="13.2"/>
  <cols>
    <col min="1" max="1" width="5.77734375" style="505" customWidth="1"/>
    <col min="2" max="2" width="0.109375" style="505" customWidth="1"/>
    <col min="3" max="3" width="76.21875" style="509" customWidth="1"/>
    <col min="4" max="4" width="15.33203125" style="509" customWidth="1"/>
    <col min="5" max="5" width="13.5546875" style="505" customWidth="1"/>
    <col min="6" max="6" width="16.88671875" style="505" bestFit="1" customWidth="1"/>
    <col min="7" max="7" width="17.33203125" style="505" customWidth="1"/>
    <col min="8" max="9" width="12.77734375" style="505" customWidth="1"/>
    <col min="10" max="10" width="9" style="505" bestFit="1" customWidth="1"/>
    <col min="11" max="16384" width="8.88671875" style="505"/>
  </cols>
  <sheetData>
    <row r="1" spans="1:57" s="480" customFormat="1" ht="16.5" customHeight="1">
      <c r="A1" s="632" t="s">
        <v>3</v>
      </c>
      <c r="B1" s="632"/>
      <c r="C1" s="632"/>
      <c r="D1" s="632"/>
      <c r="E1" s="632"/>
      <c r="F1" s="632"/>
      <c r="G1" s="632"/>
      <c r="H1" s="479"/>
      <c r="I1" s="479"/>
      <c r="J1" s="479"/>
    </row>
    <row r="2" spans="1:57" s="480" customFormat="1" ht="16.5" customHeight="1">
      <c r="A2" s="632" t="s">
        <v>608</v>
      </c>
      <c r="B2" s="632"/>
      <c r="C2" s="632"/>
      <c r="D2" s="632"/>
      <c r="E2" s="632"/>
      <c r="F2" s="632"/>
      <c r="G2" s="632"/>
      <c r="H2" s="479"/>
      <c r="I2" s="479"/>
      <c r="J2" s="479"/>
    </row>
    <row r="3" spans="1:57" s="480" customFormat="1" ht="16.5" customHeight="1">
      <c r="A3" s="633" t="s">
        <v>604</v>
      </c>
      <c r="B3" s="633"/>
      <c r="C3" s="633"/>
      <c r="D3" s="633"/>
      <c r="E3" s="633"/>
      <c r="F3" s="633"/>
      <c r="G3" s="633"/>
      <c r="H3" s="479"/>
      <c r="I3" s="479"/>
      <c r="J3" s="479"/>
    </row>
    <row r="4" spans="1:57" s="480" customFormat="1" ht="15.6">
      <c r="A4" s="634" t="s">
        <v>143</v>
      </c>
      <c r="B4" s="634"/>
      <c r="C4" s="634"/>
      <c r="D4" s="634"/>
      <c r="E4" s="634"/>
      <c r="F4" s="634"/>
      <c r="G4" s="634"/>
    </row>
    <row r="5" spans="1:57" s="481" customFormat="1" ht="15.6">
      <c r="C5" s="482"/>
      <c r="D5" s="482"/>
      <c r="F5" s="483" t="s">
        <v>143</v>
      </c>
    </row>
    <row r="6" spans="1:57" s="486" customFormat="1" ht="33.450000000000003" customHeight="1">
      <c r="A6" s="484"/>
      <c r="B6" s="485"/>
      <c r="C6" s="485" t="s">
        <v>42</v>
      </c>
      <c r="D6" s="484" t="s">
        <v>631</v>
      </c>
      <c r="E6" s="484" t="s">
        <v>516</v>
      </c>
      <c r="F6" s="484" t="s">
        <v>600</v>
      </c>
      <c r="G6" s="484" t="s">
        <v>632</v>
      </c>
    </row>
    <row r="7" spans="1:57" s="480" customFormat="1" ht="9" customHeight="1">
      <c r="A7" s="487"/>
      <c r="B7" s="488"/>
      <c r="C7" s="488"/>
      <c r="D7" s="487"/>
      <c r="E7" s="487"/>
      <c r="F7" s="487"/>
      <c r="G7" s="487"/>
    </row>
    <row r="8" spans="1:57" s="480" customFormat="1" ht="18.899999999999999" customHeight="1">
      <c r="A8" s="489">
        <v>1</v>
      </c>
      <c r="B8" s="490" t="s">
        <v>609</v>
      </c>
      <c r="C8" s="491" t="s">
        <v>43</v>
      </c>
      <c r="D8" s="459">
        <v>745613.64397142164</v>
      </c>
      <c r="E8" s="462">
        <v>271927</v>
      </c>
      <c r="F8" s="459">
        <v>796477.81075704517</v>
      </c>
      <c r="G8" s="460">
        <f t="shared" ref="G8:G20" si="0">+F8-D8</f>
        <v>50864.166785623529</v>
      </c>
      <c r="H8" s="492"/>
      <c r="I8" s="493"/>
      <c r="J8" s="493"/>
      <c r="K8" s="492"/>
      <c r="L8" s="492"/>
      <c r="M8" s="492"/>
      <c r="N8" s="492"/>
      <c r="O8" s="492"/>
      <c r="P8" s="492"/>
      <c r="Q8" s="492"/>
      <c r="R8" s="492"/>
      <c r="S8" s="492"/>
      <c r="T8" s="492"/>
      <c r="U8" s="492"/>
      <c r="V8" s="492"/>
      <c r="W8" s="492"/>
      <c r="X8" s="492"/>
      <c r="Y8" s="492"/>
      <c r="Z8" s="492"/>
      <c r="AA8" s="492"/>
      <c r="AB8" s="492"/>
      <c r="AC8" s="492"/>
      <c r="AD8" s="492"/>
      <c r="AE8" s="492"/>
      <c r="AF8" s="492"/>
      <c r="AG8" s="492"/>
      <c r="AH8" s="492"/>
      <c r="AI8" s="492"/>
      <c r="AJ8" s="492"/>
      <c r="AK8" s="492"/>
      <c r="AL8" s="492"/>
      <c r="AM8" s="492"/>
      <c r="AN8" s="492"/>
      <c r="AO8" s="492"/>
      <c r="AP8" s="492"/>
      <c r="AQ8" s="492"/>
      <c r="AR8" s="492"/>
      <c r="AS8" s="492"/>
      <c r="AT8" s="492"/>
      <c r="AU8" s="492"/>
      <c r="AV8" s="492"/>
      <c r="AW8" s="492"/>
      <c r="AX8" s="492"/>
      <c r="AY8" s="492"/>
      <c r="AZ8" s="492"/>
      <c r="BA8" s="492"/>
      <c r="BB8" s="492"/>
      <c r="BC8" s="492"/>
      <c r="BD8" s="492"/>
      <c r="BE8" s="492"/>
    </row>
    <row r="9" spans="1:57" s="480" customFormat="1" ht="18.899999999999999" customHeight="1">
      <c r="A9" s="489">
        <f t="shared" ref="A9:A18" si="1">A8+1</f>
        <v>2</v>
      </c>
      <c r="B9" s="491" t="s">
        <v>610</v>
      </c>
      <c r="C9" s="491" t="s">
        <v>44</v>
      </c>
      <c r="D9" s="459">
        <v>264416</v>
      </c>
      <c r="E9" s="462">
        <v>109780</v>
      </c>
      <c r="F9" s="459">
        <v>299402.81157917605</v>
      </c>
      <c r="G9" s="460">
        <f t="shared" si="0"/>
        <v>34986.81157917605</v>
      </c>
      <c r="H9" s="492"/>
      <c r="I9" s="493"/>
      <c r="J9" s="493"/>
      <c r="K9" s="492"/>
      <c r="L9" s="492"/>
      <c r="M9" s="492"/>
      <c r="N9" s="492"/>
      <c r="O9" s="492"/>
      <c r="P9" s="492"/>
      <c r="Q9" s="492"/>
      <c r="R9" s="492"/>
      <c r="S9" s="492"/>
      <c r="T9" s="492"/>
      <c r="U9" s="492"/>
      <c r="V9" s="492"/>
      <c r="W9" s="492"/>
      <c r="X9" s="492"/>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row>
    <row r="10" spans="1:57" s="480" customFormat="1" ht="15.6">
      <c r="A10" s="489">
        <f t="shared" si="1"/>
        <v>3</v>
      </c>
      <c r="B10" s="491" t="s">
        <v>611</v>
      </c>
      <c r="C10" s="491" t="s">
        <v>173</v>
      </c>
      <c r="D10" s="459">
        <v>117469</v>
      </c>
      <c r="E10" s="462">
        <v>38910</v>
      </c>
      <c r="F10" s="459">
        <v>119098.16043676586</v>
      </c>
      <c r="G10" s="460">
        <f t="shared" si="0"/>
        <v>1629.1604367658583</v>
      </c>
      <c r="H10" s="492"/>
      <c r="I10" s="493"/>
      <c r="J10" s="493"/>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row>
    <row r="11" spans="1:57" s="496" customFormat="1" ht="18.899999999999999" customHeight="1">
      <c r="A11" s="489">
        <f t="shared" si="1"/>
        <v>4</v>
      </c>
      <c r="B11" s="491" t="s">
        <v>612</v>
      </c>
      <c r="C11" s="491" t="s">
        <v>45</v>
      </c>
      <c r="D11" s="459">
        <v>149464</v>
      </c>
      <c r="E11" s="462">
        <v>55082</v>
      </c>
      <c r="F11" s="459">
        <v>172276.91396507391</v>
      </c>
      <c r="G11" s="460">
        <f t="shared" si="0"/>
        <v>22812.913965073909</v>
      </c>
      <c r="H11" s="494"/>
      <c r="I11" s="495"/>
      <c r="J11" s="495"/>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row>
    <row r="12" spans="1:57" s="480" customFormat="1" ht="18.899999999999999" customHeight="1">
      <c r="A12" s="489">
        <f t="shared" si="1"/>
        <v>5</v>
      </c>
      <c r="B12" s="491" t="s">
        <v>613</v>
      </c>
      <c r="C12" s="491" t="s">
        <v>174</v>
      </c>
      <c r="D12" s="459">
        <v>96965</v>
      </c>
      <c r="E12" s="462">
        <v>29395</v>
      </c>
      <c r="F12" s="459">
        <v>83033.113118472684</v>
      </c>
      <c r="G12" s="460">
        <f t="shared" si="0"/>
        <v>-13931.886881527316</v>
      </c>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c r="AU12" s="492"/>
      <c r="AV12" s="492"/>
      <c r="AW12" s="492"/>
      <c r="AX12" s="492"/>
      <c r="AY12" s="492"/>
      <c r="AZ12" s="492"/>
      <c r="BA12" s="492"/>
      <c r="BB12" s="492"/>
      <c r="BC12" s="492"/>
      <c r="BD12" s="492"/>
      <c r="BE12" s="492"/>
    </row>
    <row r="13" spans="1:57" s="499" customFormat="1" ht="18.899999999999999" customHeight="1">
      <c r="A13" s="497">
        <f t="shared" si="1"/>
        <v>6</v>
      </c>
      <c r="B13" s="491" t="s">
        <v>614</v>
      </c>
      <c r="C13" s="491" t="s">
        <v>175</v>
      </c>
      <c r="D13" s="466">
        <v>28</v>
      </c>
      <c r="E13" s="465">
        <v>27.954243229999999</v>
      </c>
      <c r="F13" s="466">
        <v>26.69434857674349</v>
      </c>
      <c r="G13" s="467">
        <f t="shared" si="0"/>
        <v>-1.30565142325651</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8"/>
      <c r="AY13" s="498"/>
      <c r="AZ13" s="498"/>
      <c r="BA13" s="498"/>
      <c r="BB13" s="498"/>
      <c r="BC13" s="498"/>
      <c r="BD13" s="498"/>
      <c r="BE13" s="498"/>
    </row>
    <row r="14" spans="1:57" s="480" customFormat="1" ht="18.899999999999999" customHeight="1">
      <c r="A14" s="489">
        <f t="shared" si="1"/>
        <v>7</v>
      </c>
      <c r="B14" s="491" t="s">
        <v>615</v>
      </c>
      <c r="C14" s="491" t="s">
        <v>235</v>
      </c>
      <c r="D14" s="459">
        <v>28252.411407933454</v>
      </c>
      <c r="E14" s="462">
        <v>26485.25</v>
      </c>
      <c r="F14" s="461">
        <v>28434.127147718187</v>
      </c>
      <c r="G14" s="460">
        <f t="shared" si="0"/>
        <v>181.71573978473316</v>
      </c>
      <c r="H14" s="492" t="s">
        <v>143</v>
      </c>
      <c r="I14" s="492"/>
      <c r="J14" s="492"/>
      <c r="K14" s="492"/>
      <c r="L14" s="492"/>
      <c r="M14" s="492"/>
      <c r="N14" s="492"/>
      <c r="O14" s="492"/>
      <c r="P14" s="492"/>
      <c r="Q14" s="492"/>
      <c r="R14" s="492"/>
      <c r="S14" s="492"/>
      <c r="T14" s="492"/>
      <c r="U14" s="492"/>
      <c r="V14" s="492"/>
      <c r="W14" s="492"/>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row>
    <row r="15" spans="1:57" s="499" customFormat="1" ht="18.899999999999999" customHeight="1">
      <c r="A15" s="497">
        <f t="shared" si="1"/>
        <v>8</v>
      </c>
      <c r="B15" s="491" t="s">
        <v>616</v>
      </c>
      <c r="C15" s="491" t="s">
        <v>555</v>
      </c>
      <c r="D15" s="459">
        <v>16308</v>
      </c>
      <c r="E15" s="462">
        <v>14898.423386030865</v>
      </c>
      <c r="F15" s="459">
        <v>15552.446716607383</v>
      </c>
      <c r="G15" s="459">
        <f t="shared" si="0"/>
        <v>-755.55328339261723</v>
      </c>
      <c r="H15" s="498" t="s">
        <v>143</v>
      </c>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row>
    <row r="16" spans="1:57" s="496" customFormat="1" ht="18.899999999999999" customHeight="1">
      <c r="A16" s="489">
        <f t="shared" si="1"/>
        <v>9</v>
      </c>
      <c r="B16" s="491" t="s">
        <v>617</v>
      </c>
      <c r="C16" s="491" t="s">
        <v>556</v>
      </c>
      <c r="D16" s="459">
        <v>54844</v>
      </c>
      <c r="E16" s="462">
        <v>54037.286424802092</v>
      </c>
      <c r="F16" s="459">
        <v>54215.671516202223</v>
      </c>
      <c r="G16" s="459">
        <f t="shared" si="0"/>
        <v>-628.32848379777715</v>
      </c>
      <c r="H16" s="494"/>
      <c r="I16" s="494"/>
      <c r="J16" s="494"/>
      <c r="K16" s="494"/>
      <c r="L16" s="494"/>
      <c r="M16" s="494"/>
      <c r="N16" s="494"/>
      <c r="O16" s="494"/>
      <c r="P16" s="494"/>
      <c r="Q16" s="494"/>
      <c r="R16" s="494"/>
      <c r="S16" s="494"/>
      <c r="T16" s="494"/>
      <c r="U16" s="494"/>
      <c r="V16" s="494"/>
      <c r="W16" s="494"/>
      <c r="X16" s="494"/>
      <c r="Y16" s="494"/>
      <c r="Z16" s="494"/>
      <c r="AA16" s="494"/>
      <c r="AB16" s="494"/>
      <c r="AC16" s="494"/>
      <c r="AD16" s="494"/>
      <c r="AE16" s="494"/>
      <c r="AF16" s="494"/>
      <c r="AG16" s="494"/>
      <c r="AH16" s="494"/>
      <c r="AI16" s="494"/>
      <c r="AJ16" s="494"/>
      <c r="AK16" s="494"/>
      <c r="AL16" s="494"/>
      <c r="AM16" s="494"/>
      <c r="AN16" s="494"/>
      <c r="AO16" s="494"/>
      <c r="AP16" s="494"/>
      <c r="AQ16" s="494"/>
      <c r="AR16" s="494"/>
      <c r="AS16" s="494"/>
      <c r="AT16" s="494"/>
      <c r="AU16" s="494"/>
      <c r="AV16" s="494"/>
      <c r="AW16" s="494"/>
      <c r="AX16" s="494"/>
      <c r="AY16" s="494"/>
      <c r="AZ16" s="494"/>
      <c r="BA16" s="494"/>
      <c r="BB16" s="494"/>
      <c r="BC16" s="494"/>
      <c r="BD16" s="494"/>
      <c r="BE16" s="494"/>
    </row>
    <row r="17" spans="1:57" s="496" customFormat="1" ht="18.899999999999999" customHeight="1">
      <c r="A17" s="489">
        <f t="shared" si="1"/>
        <v>10</v>
      </c>
      <c r="B17" s="491" t="s">
        <v>618</v>
      </c>
      <c r="C17" s="491" t="s">
        <v>557</v>
      </c>
      <c r="D17" s="459">
        <v>8240</v>
      </c>
      <c r="E17" s="462">
        <v>6345.333333333333</v>
      </c>
      <c r="F17" s="459">
        <v>5277</v>
      </c>
      <c r="G17" s="459">
        <f t="shared" si="0"/>
        <v>-2963</v>
      </c>
      <c r="H17" s="494"/>
      <c r="I17" s="494"/>
      <c r="J17" s="494"/>
      <c r="K17" s="494"/>
      <c r="L17" s="494"/>
      <c r="M17" s="494"/>
      <c r="N17" s="494"/>
      <c r="O17" s="494"/>
      <c r="P17" s="494"/>
      <c r="Q17" s="494"/>
      <c r="R17" s="494"/>
      <c r="S17" s="494"/>
      <c r="T17" s="494"/>
      <c r="U17" s="494"/>
      <c r="V17" s="494"/>
      <c r="W17" s="494"/>
      <c r="X17" s="494"/>
      <c r="Y17" s="494"/>
      <c r="Z17" s="494"/>
      <c r="AA17" s="494"/>
      <c r="AB17" s="494"/>
      <c r="AC17" s="494"/>
      <c r="AD17" s="494"/>
      <c r="AE17" s="494"/>
      <c r="AF17" s="494"/>
      <c r="AG17" s="494"/>
      <c r="AH17" s="494"/>
      <c r="AI17" s="494"/>
      <c r="AJ17" s="494"/>
      <c r="AK17" s="494"/>
      <c r="AL17" s="494"/>
      <c r="AM17" s="494"/>
      <c r="AN17" s="494"/>
      <c r="AO17" s="494"/>
      <c r="AP17" s="494"/>
      <c r="AQ17" s="494"/>
      <c r="AR17" s="494"/>
      <c r="AS17" s="494"/>
      <c r="AT17" s="494"/>
      <c r="AU17" s="494"/>
      <c r="AV17" s="494"/>
      <c r="AW17" s="494"/>
      <c r="AX17" s="494"/>
      <c r="AY17" s="494"/>
      <c r="AZ17" s="494"/>
      <c r="BA17" s="494"/>
      <c r="BB17" s="494"/>
      <c r="BC17" s="494"/>
      <c r="BD17" s="494"/>
      <c r="BE17" s="494"/>
    </row>
    <row r="18" spans="1:57" s="496" customFormat="1" ht="18.899999999999999" customHeight="1">
      <c r="A18" s="489">
        <f t="shared" si="1"/>
        <v>11</v>
      </c>
      <c r="B18" s="491" t="s">
        <v>619</v>
      </c>
      <c r="C18" s="491" t="s">
        <v>558</v>
      </c>
      <c r="D18" s="459">
        <v>9870</v>
      </c>
      <c r="E18" s="462">
        <v>7597.6329032219173</v>
      </c>
      <c r="F18" s="459">
        <v>6700</v>
      </c>
      <c r="G18" s="459">
        <f t="shared" si="0"/>
        <v>-3170</v>
      </c>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494"/>
      <c r="AJ18" s="494"/>
      <c r="AK18" s="494"/>
      <c r="AL18" s="494"/>
      <c r="AM18" s="494"/>
      <c r="AN18" s="494"/>
      <c r="AO18" s="494"/>
      <c r="AP18" s="494"/>
      <c r="AQ18" s="494"/>
      <c r="AR18" s="494"/>
      <c r="AS18" s="494"/>
      <c r="AT18" s="494"/>
      <c r="AU18" s="494"/>
      <c r="AV18" s="494"/>
      <c r="AW18" s="494"/>
      <c r="AX18" s="494"/>
      <c r="AY18" s="494"/>
      <c r="AZ18" s="494"/>
      <c r="BA18" s="494"/>
      <c r="BB18" s="494"/>
      <c r="BC18" s="494"/>
      <c r="BD18" s="494"/>
      <c r="BE18" s="494"/>
    </row>
    <row r="19" spans="1:57" s="496" customFormat="1" ht="15.6">
      <c r="A19" s="489">
        <v>12</v>
      </c>
      <c r="B19" s="491" t="s">
        <v>620</v>
      </c>
      <c r="C19" s="500" t="s">
        <v>382</v>
      </c>
      <c r="D19" s="477">
        <v>1.8</v>
      </c>
      <c r="E19" s="465">
        <v>2.0425</v>
      </c>
      <c r="F19" s="459">
        <v>1.75</v>
      </c>
      <c r="G19" s="459">
        <f t="shared" si="0"/>
        <v>-5.0000000000000044E-2</v>
      </c>
      <c r="H19" s="494"/>
      <c r="I19" s="494"/>
      <c r="J19" s="494"/>
      <c r="K19" s="494"/>
      <c r="L19" s="494"/>
      <c r="M19" s="494"/>
      <c r="N19" s="494"/>
      <c r="O19" s="494"/>
      <c r="P19" s="494"/>
      <c r="Q19" s="494"/>
      <c r="R19" s="494"/>
      <c r="S19" s="494"/>
      <c r="T19" s="494"/>
      <c r="U19" s="494"/>
      <c r="V19" s="494"/>
      <c r="W19" s="494"/>
      <c r="X19" s="494"/>
      <c r="Y19" s="494"/>
      <c r="Z19" s="494"/>
      <c r="AA19" s="494"/>
      <c r="AB19" s="494"/>
      <c r="AC19" s="494"/>
      <c r="AD19" s="494"/>
      <c r="AE19" s="494"/>
      <c r="AF19" s="494"/>
      <c r="AG19" s="494"/>
      <c r="AH19" s="494"/>
      <c r="AI19" s="494"/>
      <c r="AJ19" s="494"/>
      <c r="AK19" s="494"/>
      <c r="AL19" s="494"/>
      <c r="AM19" s="494"/>
      <c r="AN19" s="494"/>
      <c r="AO19" s="494"/>
      <c r="AP19" s="494"/>
      <c r="AQ19" s="494"/>
      <c r="AR19" s="494"/>
      <c r="AS19" s="494"/>
      <c r="AT19" s="494"/>
      <c r="AU19" s="494"/>
      <c r="AV19" s="494"/>
      <c r="AW19" s="494"/>
      <c r="AX19" s="494"/>
      <c r="AY19" s="494"/>
      <c r="AZ19" s="494"/>
      <c r="BA19" s="494"/>
      <c r="BB19" s="494"/>
      <c r="BC19" s="494"/>
      <c r="BD19" s="494"/>
      <c r="BE19" s="494"/>
    </row>
    <row r="20" spans="1:57" s="496" customFormat="1" ht="15.6">
      <c r="A20" s="489">
        <f t="shared" ref="A20" si="2">A19+1</f>
        <v>13</v>
      </c>
      <c r="B20" s="491" t="s">
        <v>621</v>
      </c>
      <c r="C20" s="501" t="s">
        <v>383</v>
      </c>
      <c r="D20" s="463">
        <v>34377.030072356247</v>
      </c>
      <c r="E20" s="464">
        <v>5153</v>
      </c>
      <c r="F20" s="463">
        <v>34377.030072356247</v>
      </c>
      <c r="G20" s="463">
        <f t="shared" si="0"/>
        <v>0</v>
      </c>
      <c r="H20" s="494"/>
      <c r="I20" s="494"/>
      <c r="J20" s="494"/>
      <c r="K20" s="494"/>
      <c r="L20" s="494"/>
      <c r="M20" s="494"/>
      <c r="N20" s="494"/>
      <c r="O20" s="494"/>
      <c r="P20" s="494"/>
      <c r="Q20" s="494"/>
      <c r="R20" s="494"/>
      <c r="S20" s="494"/>
      <c r="T20" s="494"/>
      <c r="U20" s="494"/>
      <c r="V20" s="494"/>
      <c r="W20" s="494"/>
      <c r="X20" s="494"/>
      <c r="Y20" s="494"/>
      <c r="Z20" s="494"/>
      <c r="AA20" s="494"/>
      <c r="AB20" s="494"/>
      <c r="AC20" s="494"/>
      <c r="AD20" s="494"/>
      <c r="AE20" s="494"/>
      <c r="AF20" s="494"/>
      <c r="AG20" s="494"/>
      <c r="AH20" s="494"/>
      <c r="AI20" s="494"/>
      <c r="AJ20" s="494"/>
      <c r="AK20" s="494"/>
      <c r="AL20" s="494"/>
      <c r="AM20" s="494"/>
      <c r="AN20" s="494"/>
      <c r="AO20" s="494"/>
      <c r="AP20" s="494"/>
      <c r="AQ20" s="494"/>
      <c r="AR20" s="494"/>
      <c r="AS20" s="494"/>
      <c r="AT20" s="494"/>
      <c r="AU20" s="494"/>
      <c r="AV20" s="494"/>
      <c r="AW20" s="494"/>
      <c r="AX20" s="494"/>
      <c r="AY20" s="494"/>
      <c r="AZ20" s="494"/>
      <c r="BA20" s="494"/>
      <c r="BB20" s="494"/>
      <c r="BC20" s="494"/>
      <c r="BD20" s="494"/>
      <c r="BE20" s="494"/>
    </row>
    <row r="21" spans="1:57" ht="15.6">
      <c r="A21" s="502"/>
      <c r="B21" s="502"/>
      <c r="C21" s="503"/>
      <c r="D21" s="401"/>
      <c r="E21" s="402"/>
      <c r="F21" s="402"/>
      <c r="G21" s="402"/>
      <c r="H21" s="504"/>
      <c r="I21" s="504"/>
      <c r="J21" s="504"/>
      <c r="K21" s="504"/>
      <c r="L21" s="504"/>
      <c r="M21" s="504"/>
      <c r="N21" s="504"/>
      <c r="O21" s="504"/>
      <c r="P21" s="504"/>
      <c r="Q21" s="504"/>
      <c r="R21" s="504"/>
      <c r="S21" s="504"/>
      <c r="T21" s="504"/>
      <c r="U21" s="504"/>
      <c r="V21" s="504"/>
      <c r="W21" s="504"/>
      <c r="X21" s="504"/>
      <c r="Y21" s="504"/>
      <c r="Z21" s="504"/>
      <c r="AA21" s="504"/>
      <c r="AB21" s="504"/>
      <c r="AC21" s="504"/>
      <c r="AD21" s="504"/>
      <c r="AE21" s="504"/>
      <c r="AF21" s="504"/>
      <c r="AG21" s="504"/>
      <c r="AH21" s="504"/>
      <c r="AI21" s="504"/>
      <c r="AJ21" s="504"/>
      <c r="AK21" s="504"/>
      <c r="AL21" s="504"/>
      <c r="AM21" s="504"/>
      <c r="AN21" s="504"/>
      <c r="AO21" s="504"/>
      <c r="AP21" s="504"/>
      <c r="AQ21" s="504"/>
      <c r="AR21" s="504"/>
      <c r="AS21" s="504"/>
      <c r="AT21" s="504"/>
      <c r="AU21" s="504"/>
      <c r="AV21" s="504"/>
      <c r="AW21" s="504"/>
      <c r="AX21" s="504"/>
      <c r="AY21" s="504"/>
      <c r="AZ21" s="504"/>
      <c r="BA21" s="504"/>
      <c r="BB21" s="504"/>
      <c r="BC21" s="504"/>
      <c r="BD21" s="504"/>
      <c r="BE21" s="504"/>
    </row>
    <row r="22" spans="1:57" ht="24.75" customHeight="1">
      <c r="A22" s="506" t="s">
        <v>622</v>
      </c>
      <c r="B22" s="506"/>
      <c r="C22" s="507" t="s">
        <v>623</v>
      </c>
      <c r="D22" s="425"/>
      <c r="E22" s="402"/>
      <c r="F22" s="402"/>
      <c r="G22" s="402"/>
    </row>
    <row r="23" spans="1:57" ht="15.6">
      <c r="A23" s="506" t="s">
        <v>624</v>
      </c>
      <c r="B23" s="506"/>
      <c r="C23" s="503" t="s">
        <v>625</v>
      </c>
      <c r="D23" s="425"/>
      <c r="E23" s="402"/>
      <c r="F23" s="402"/>
      <c r="G23" s="402"/>
    </row>
    <row r="24" spans="1:57" ht="15.6">
      <c r="A24" s="506"/>
      <c r="B24" s="506"/>
      <c r="C24" s="508"/>
    </row>
    <row r="25" spans="1:57" ht="15.6">
      <c r="A25" s="510"/>
      <c r="B25" s="510"/>
      <c r="C25" s="635" t="s">
        <v>626</v>
      </c>
      <c r="D25" s="635"/>
      <c r="E25" s="635"/>
    </row>
    <row r="27" spans="1:57">
      <c r="E27" s="511"/>
    </row>
  </sheetData>
  <mergeCells count="5">
    <mergeCell ref="A1:G1"/>
    <mergeCell ref="A2:G2"/>
    <mergeCell ref="A3:G3"/>
    <mergeCell ref="A4:G4"/>
    <mergeCell ref="C25:E25"/>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37" t="s">
        <v>3</v>
      </c>
      <c r="B1" s="637"/>
      <c r="C1" s="637"/>
      <c r="D1" s="43"/>
      <c r="E1" s="43"/>
      <c r="F1" s="43"/>
      <c r="G1" s="43"/>
      <c r="H1" s="43"/>
      <c r="I1" s="43"/>
      <c r="J1" s="43"/>
      <c r="K1" s="43"/>
      <c r="L1" s="43"/>
      <c r="M1" s="44"/>
      <c r="N1" s="45"/>
      <c r="O1" s="46"/>
      <c r="P1" s="46"/>
    </row>
    <row r="2" spans="1:16" s="9" customFormat="1" ht="15.6">
      <c r="A2" s="638" t="s">
        <v>181</v>
      </c>
      <c r="B2" s="638"/>
      <c r="C2" s="638"/>
      <c r="D2" s="47"/>
      <c r="E2" s="47"/>
      <c r="F2" s="47"/>
      <c r="G2" s="47"/>
      <c r="H2" s="47"/>
      <c r="I2" s="47"/>
      <c r="J2" s="47"/>
      <c r="K2" s="47"/>
      <c r="L2" s="47"/>
      <c r="M2" s="48"/>
      <c r="N2" s="49"/>
      <c r="O2" s="50"/>
      <c r="P2" s="50"/>
    </row>
    <row r="3" spans="1:16" s="9" customFormat="1" ht="15.6">
      <c r="A3" s="636" t="s">
        <v>180</v>
      </c>
      <c r="B3" s="636"/>
      <c r="C3" s="636"/>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80" zoomScaleNormal="80" workbookViewId="0">
      <selection activeCell="A7" sqref="A7"/>
    </sheetView>
  </sheetViews>
  <sheetFormatPr defaultColWidth="8.88671875" defaultRowHeight="13.2"/>
  <cols>
    <col min="1" max="1" width="73.33203125" style="416" bestFit="1" customWidth="1"/>
    <col min="2" max="2" width="25.88671875" style="415" customWidth="1"/>
    <col min="3" max="3" width="20.6640625" style="416" customWidth="1"/>
    <col min="4" max="5" width="24.88671875" style="416" bestFit="1" customWidth="1"/>
    <col min="6" max="16384" width="8.88671875" style="416"/>
  </cols>
  <sheetData>
    <row r="1" spans="1:10" s="269" customFormat="1" ht="16.5" customHeight="1">
      <c r="A1" s="639" t="s">
        <v>3</v>
      </c>
      <c r="B1" s="639"/>
      <c r="C1" s="639"/>
      <c r="D1" s="639"/>
      <c r="E1" s="639"/>
      <c r="F1" s="639"/>
      <c r="G1" s="639"/>
      <c r="H1" s="412"/>
      <c r="I1" s="412"/>
      <c r="J1" s="412"/>
    </row>
    <row r="2" spans="1:10" s="269" customFormat="1" ht="16.5" customHeight="1">
      <c r="A2" s="639" t="s">
        <v>517</v>
      </c>
      <c r="B2" s="639"/>
      <c r="C2" s="639"/>
      <c r="D2" s="639"/>
      <c r="E2" s="639"/>
      <c r="F2" s="639"/>
      <c r="G2" s="639"/>
      <c r="H2" s="412"/>
      <c r="I2" s="412"/>
      <c r="J2" s="412"/>
    </row>
    <row r="3" spans="1:10" s="269" customFormat="1" ht="16.5" customHeight="1">
      <c r="A3" s="640" t="s">
        <v>604</v>
      </c>
      <c r="B3" s="640"/>
      <c r="C3" s="640"/>
      <c r="D3" s="640"/>
      <c r="E3" s="640"/>
      <c r="F3" s="640"/>
      <c r="G3" s="640"/>
      <c r="H3" s="412"/>
      <c r="I3" s="412"/>
      <c r="J3" s="412"/>
    </row>
    <row r="5" spans="1:10" ht="15.6">
      <c r="A5" s="413" t="s">
        <v>298</v>
      </c>
      <c r="B5" s="411"/>
      <c r="C5" s="411" t="s">
        <v>299</v>
      </c>
      <c r="D5" s="414"/>
      <c r="E5" s="415"/>
    </row>
    <row r="6" spans="1:10" ht="15.6">
      <c r="A6" s="413" t="s">
        <v>300</v>
      </c>
      <c r="B6" s="411"/>
      <c r="C6" s="411" t="s">
        <v>301</v>
      </c>
      <c r="D6" s="411" t="s">
        <v>302</v>
      </c>
      <c r="E6" s="411" t="s">
        <v>303</v>
      </c>
    </row>
    <row r="7" spans="1:10" ht="15.6">
      <c r="A7" s="417"/>
      <c r="B7" s="418"/>
    </row>
    <row r="8" spans="1:10" ht="15.6">
      <c r="A8" s="417"/>
      <c r="B8" s="418"/>
      <c r="C8" s="419"/>
      <c r="D8" s="418"/>
      <c r="E8" s="418"/>
      <c r="F8" s="417"/>
    </row>
    <row r="9" spans="1:10" ht="15.6">
      <c r="A9" s="417"/>
      <c r="B9" s="418"/>
      <c r="C9" s="419"/>
      <c r="D9" s="418"/>
      <c r="E9" s="418"/>
    </row>
    <row r="10" spans="1:10" ht="15.6">
      <c r="A10" s="417"/>
      <c r="B10" s="418"/>
      <c r="C10" s="419"/>
      <c r="D10" s="418"/>
      <c r="E10" s="418"/>
      <c r="G10" s="417"/>
    </row>
    <row r="11" spans="1:10" ht="15.6">
      <c r="A11" s="417"/>
      <c r="B11" s="418"/>
      <c r="C11" s="419"/>
      <c r="D11" s="418"/>
      <c r="E11" s="418"/>
    </row>
    <row r="12" spans="1:10" ht="15.6">
      <c r="A12" s="417"/>
      <c r="B12" s="418"/>
      <c r="C12" s="419"/>
      <c r="D12" s="418"/>
      <c r="E12" s="418"/>
    </row>
    <row r="13" spans="1:10" ht="15.6">
      <c r="A13" s="417"/>
      <c r="B13" s="418"/>
      <c r="C13" s="419"/>
      <c r="D13" s="418"/>
      <c r="E13" s="418"/>
      <c r="G13" s="417"/>
    </row>
    <row r="14" spans="1:10" ht="15.6">
      <c r="A14" s="417"/>
      <c r="B14" s="418"/>
      <c r="C14" s="419"/>
      <c r="D14" s="418"/>
      <c r="E14" s="418"/>
    </row>
    <row r="15" spans="1:10" ht="15.6">
      <c r="A15" s="417"/>
      <c r="B15" s="418"/>
      <c r="C15" s="419"/>
      <c r="D15" s="418"/>
      <c r="E15" s="418"/>
    </row>
    <row r="16" spans="1:10" ht="15.6">
      <c r="A16" s="417"/>
      <c r="B16" s="418"/>
      <c r="C16" s="419"/>
      <c r="D16" s="418"/>
      <c r="E16" s="418"/>
    </row>
    <row r="17" spans="1:5" ht="15.6">
      <c r="A17" s="417"/>
      <c r="B17" s="418"/>
      <c r="C17" s="419"/>
      <c r="D17" s="418"/>
      <c r="E17" s="418"/>
    </row>
    <row r="18" spans="1:5" ht="15.6">
      <c r="A18" s="417"/>
      <c r="B18" s="418"/>
      <c r="C18" s="419"/>
      <c r="D18" s="418"/>
      <c r="E18" s="418"/>
    </row>
    <row r="19" spans="1:5" ht="15.6">
      <c r="A19" s="417"/>
      <c r="B19" s="418"/>
      <c r="C19" s="419"/>
      <c r="D19" s="418"/>
      <c r="E19" s="418"/>
    </row>
    <row r="20" spans="1:5" ht="15.6">
      <c r="A20" s="417"/>
      <c r="B20" s="418"/>
      <c r="C20" s="419"/>
      <c r="D20" s="418"/>
      <c r="E20" s="418"/>
    </row>
    <row r="21" spans="1:5" ht="15.6">
      <c r="A21" s="417"/>
      <c r="B21" s="418"/>
      <c r="C21" s="419"/>
      <c r="D21" s="418"/>
      <c r="E21" s="418"/>
    </row>
    <row r="22" spans="1:5" ht="15.6">
      <c r="A22" s="417"/>
      <c r="B22" s="418"/>
      <c r="C22" s="419"/>
      <c r="D22" s="418"/>
      <c r="E22" s="418"/>
    </row>
    <row r="23" spans="1:5" ht="15.6">
      <c r="A23" s="417"/>
      <c r="B23" s="418"/>
      <c r="C23" s="419"/>
      <c r="D23" s="418"/>
      <c r="E23" s="418"/>
    </row>
    <row r="24" spans="1:5" ht="15.6">
      <c r="A24" s="417"/>
      <c r="B24" s="418"/>
      <c r="C24" s="419"/>
      <c r="D24" s="418"/>
      <c r="E24" s="418"/>
    </row>
    <row r="25" spans="1:5" ht="15.6">
      <c r="A25" s="417"/>
      <c r="B25" s="418"/>
      <c r="C25" s="419"/>
      <c r="D25" s="418"/>
      <c r="E25" s="418"/>
    </row>
    <row r="26" spans="1:5" ht="15.6">
      <c r="A26" s="417"/>
      <c r="B26" s="418"/>
      <c r="C26" s="419"/>
      <c r="D26" s="418"/>
      <c r="E26" s="418"/>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15345-B5BE-414D-9A59-64A5E9DA0109}">
  <dimension ref="A1:BS58"/>
  <sheetViews>
    <sheetView zoomScale="60" zoomScaleNormal="60" workbookViewId="0">
      <pane xSplit="3" ySplit="7" topLeftCell="AT8" activePane="bottomRight" state="frozen"/>
      <selection activeCell="BA33" sqref="BA33"/>
      <selection pane="topRight" activeCell="BA33" sqref="BA33"/>
      <selection pane="bottomLeft" activeCell="BA33" sqref="BA33"/>
      <selection pane="bottomRight" activeCell="AW31" sqref="AW31"/>
    </sheetView>
  </sheetViews>
  <sheetFormatPr defaultRowHeight="16.2"/>
  <cols>
    <col min="1" max="1" width="15.5546875" style="512" customWidth="1"/>
    <col min="2" max="2" width="18.6640625" style="512" customWidth="1"/>
    <col min="3" max="3" width="84.44140625" style="512" customWidth="1"/>
    <col min="4" max="4" width="17" style="513" bestFit="1" customWidth="1"/>
    <col min="5" max="5" width="16" style="513" bestFit="1" customWidth="1"/>
    <col min="6" max="6" width="16.44140625" style="513" bestFit="1" customWidth="1"/>
    <col min="7" max="7" width="16.21875" style="513" bestFit="1" customWidth="1"/>
    <col min="8" max="11" width="16" style="513" bestFit="1" customWidth="1"/>
    <col min="12" max="12" width="16.5546875" style="513" bestFit="1" customWidth="1"/>
    <col min="13" max="15" width="17.33203125" style="513" bestFit="1" customWidth="1"/>
    <col min="16" max="16" width="18.88671875" style="513" customWidth="1"/>
    <col min="17" max="17" width="20.88671875" style="512" bestFit="1" customWidth="1"/>
    <col min="18" max="18" width="17" style="513" bestFit="1" customWidth="1"/>
    <col min="19" max="28" width="17.33203125" style="513" bestFit="1" customWidth="1"/>
    <col min="29" max="29" width="18.33203125" style="513" bestFit="1" customWidth="1"/>
    <col min="30" max="30" width="18.88671875" style="513" customWidth="1"/>
    <col min="31" max="31" width="18.88671875" style="512" bestFit="1" customWidth="1"/>
    <col min="32" max="32" width="17.44140625" style="513" bestFit="1" customWidth="1"/>
    <col min="33" max="41" width="17.33203125" style="513" bestFit="1" customWidth="1"/>
    <col min="42" max="43" width="17.88671875" style="513" bestFit="1" customWidth="1"/>
    <col min="44" max="44" width="17.88671875" style="513" customWidth="1"/>
    <col min="45" max="45" width="18.88671875" style="512" bestFit="1" customWidth="1"/>
    <col min="46" max="46" width="17.44140625" style="513" bestFit="1" customWidth="1"/>
    <col min="47" max="48" width="17.33203125" style="513" bestFit="1" customWidth="1"/>
    <col min="49" max="49" width="17.88671875" style="513" bestFit="1" customWidth="1"/>
    <col min="50" max="55" width="17.33203125" style="513" bestFit="1" customWidth="1"/>
    <col min="56" max="57" width="17.88671875" style="513" bestFit="1" customWidth="1"/>
    <col min="58" max="58" width="18.88671875" style="512" bestFit="1" customWidth="1"/>
    <col min="59" max="59" width="17.44140625" style="513" bestFit="1" customWidth="1"/>
    <col min="60" max="68" width="17.33203125" style="513" bestFit="1" customWidth="1"/>
    <col min="69" max="70" width="17.88671875" style="513" bestFit="1" customWidth="1"/>
    <col min="71" max="71" width="18.88671875" style="512" bestFit="1" customWidth="1"/>
    <col min="72" max="16384" width="8.88671875" style="513"/>
  </cols>
  <sheetData>
    <row r="1" spans="1:71">
      <c r="A1" s="512" t="s">
        <v>305</v>
      </c>
    </row>
    <row r="2" spans="1:71">
      <c r="A2" s="512" t="s">
        <v>387</v>
      </c>
    </row>
    <row r="3" spans="1:71">
      <c r="A3" s="512" t="s">
        <v>597</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4"/>
      <c r="BH3" s="514"/>
      <c r="BI3" s="514"/>
      <c r="BJ3" s="514"/>
      <c r="BK3" s="514"/>
      <c r="BL3" s="514"/>
      <c r="BM3" s="514"/>
      <c r="BN3" s="514"/>
      <c r="BO3" s="514"/>
      <c r="BP3" s="514"/>
      <c r="BQ3" s="514"/>
      <c r="BR3" s="515"/>
      <c r="BS3" s="515"/>
    </row>
    <row r="4" spans="1:71">
      <c r="A4" s="512" t="s">
        <v>628</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7"/>
      <c r="BG4" s="516"/>
      <c r="BH4" s="514"/>
      <c r="BI4" s="514"/>
      <c r="BJ4" s="514"/>
      <c r="BK4" s="514"/>
      <c r="BL4" s="514"/>
      <c r="BM4" s="514"/>
      <c r="BN4" s="514"/>
      <c r="BO4" s="514"/>
      <c r="BP4" s="514"/>
      <c r="BQ4" s="514"/>
      <c r="BR4" s="514"/>
      <c r="BS4" s="517"/>
    </row>
    <row r="5" spans="1:71" ht="16.8" thickBot="1">
      <c r="A5" s="512" t="s">
        <v>629</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7"/>
      <c r="BG5" s="514"/>
      <c r="BH5" s="514"/>
      <c r="BI5" s="514"/>
      <c r="BJ5" s="514"/>
      <c r="BK5" s="514"/>
      <c r="BL5" s="514"/>
      <c r="BM5" s="514"/>
      <c r="BN5" s="514"/>
      <c r="BO5" s="514"/>
      <c r="BP5" s="514"/>
      <c r="BQ5" s="514"/>
      <c r="BR5" s="514"/>
      <c r="BS5" s="517"/>
    </row>
    <row r="6" spans="1:71" s="512" customFormat="1" ht="16.8" thickBot="1">
      <c r="D6" s="518" t="s">
        <v>307</v>
      </c>
      <c r="E6" s="519"/>
      <c r="F6" s="519"/>
      <c r="G6" s="519"/>
      <c r="H6" s="519"/>
      <c r="I6" s="519"/>
      <c r="J6" s="519"/>
      <c r="K6" s="519"/>
      <c r="L6" s="519"/>
      <c r="M6" s="519"/>
      <c r="N6" s="519"/>
      <c r="O6" s="519"/>
      <c r="P6" s="519"/>
      <c r="Q6" s="520"/>
      <c r="R6" s="518" t="s">
        <v>385</v>
      </c>
      <c r="S6" s="519"/>
      <c r="T6" s="519"/>
      <c r="U6" s="519"/>
      <c r="V6" s="519"/>
      <c r="W6" s="519"/>
      <c r="X6" s="519"/>
      <c r="Y6" s="519"/>
      <c r="Z6" s="519"/>
      <c r="AA6" s="519"/>
      <c r="AB6" s="519"/>
      <c r="AC6" s="519"/>
      <c r="AD6" s="519"/>
      <c r="AE6" s="520"/>
      <c r="AF6" s="518" t="s">
        <v>390</v>
      </c>
      <c r="AG6" s="519"/>
      <c r="AH6" s="519"/>
      <c r="AI6" s="519"/>
      <c r="AJ6" s="519"/>
      <c r="AK6" s="519"/>
      <c r="AL6" s="519"/>
      <c r="AM6" s="519"/>
      <c r="AN6" s="519"/>
      <c r="AO6" s="519"/>
      <c r="AP6" s="519"/>
      <c r="AQ6" s="519"/>
      <c r="AR6" s="519"/>
      <c r="AS6" s="520"/>
      <c r="AT6" s="518" t="s">
        <v>564</v>
      </c>
      <c r="AU6" s="519"/>
      <c r="AV6" s="519"/>
      <c r="AW6" s="519"/>
      <c r="AX6" s="519"/>
      <c r="AY6" s="519"/>
      <c r="AZ6" s="519"/>
      <c r="BA6" s="519"/>
      <c r="BB6" s="519"/>
      <c r="BC6" s="519"/>
      <c r="BD6" s="519"/>
      <c r="BE6" s="519"/>
      <c r="BF6" s="520"/>
      <c r="BG6" s="518" t="s">
        <v>565</v>
      </c>
      <c r="BH6" s="519"/>
      <c r="BI6" s="519"/>
      <c r="BJ6" s="519"/>
      <c r="BK6" s="519"/>
      <c r="BL6" s="519"/>
      <c r="BM6" s="519"/>
      <c r="BN6" s="519"/>
      <c r="BO6" s="519"/>
      <c r="BP6" s="519"/>
      <c r="BQ6" s="519"/>
      <c r="BR6" s="519"/>
      <c r="BS6" s="520"/>
    </row>
    <row r="7" spans="1:71" s="512" customFormat="1">
      <c r="A7" s="521"/>
      <c r="B7" s="522" t="s">
        <v>308</v>
      </c>
      <c r="C7" s="523" t="s">
        <v>309</v>
      </c>
      <c r="D7" s="524" t="s">
        <v>310</v>
      </c>
      <c r="E7" s="525" t="s">
        <v>311</v>
      </c>
      <c r="F7" s="525" t="s">
        <v>312</v>
      </c>
      <c r="G7" s="525" t="s">
        <v>313</v>
      </c>
      <c r="H7" s="525" t="s">
        <v>314</v>
      </c>
      <c r="I7" s="525" t="s">
        <v>315</v>
      </c>
      <c r="J7" s="525" t="s">
        <v>316</v>
      </c>
      <c r="K7" s="525" t="s">
        <v>317</v>
      </c>
      <c r="L7" s="525" t="s">
        <v>318</v>
      </c>
      <c r="M7" s="525" t="s">
        <v>319</v>
      </c>
      <c r="N7" s="525" t="s">
        <v>320</v>
      </c>
      <c r="O7" s="525" t="s">
        <v>321</v>
      </c>
      <c r="P7" s="525" t="s">
        <v>373</v>
      </c>
      <c r="Q7" s="526" t="s">
        <v>322</v>
      </c>
      <c r="R7" s="524" t="s">
        <v>310</v>
      </c>
      <c r="S7" s="525" t="s">
        <v>311</v>
      </c>
      <c r="T7" s="525" t="s">
        <v>312</v>
      </c>
      <c r="U7" s="525" t="s">
        <v>313</v>
      </c>
      <c r="V7" s="525" t="s">
        <v>314</v>
      </c>
      <c r="W7" s="525" t="s">
        <v>315</v>
      </c>
      <c r="X7" s="525" t="s">
        <v>316</v>
      </c>
      <c r="Y7" s="525" t="s">
        <v>317</v>
      </c>
      <c r="Z7" s="525" t="s">
        <v>318</v>
      </c>
      <c r="AA7" s="525" t="s">
        <v>319</v>
      </c>
      <c r="AB7" s="525" t="s">
        <v>320</v>
      </c>
      <c r="AC7" s="525" t="s">
        <v>321</v>
      </c>
      <c r="AD7" s="525" t="s">
        <v>457</v>
      </c>
      <c r="AE7" s="526" t="s">
        <v>384</v>
      </c>
      <c r="AF7" s="524" t="s">
        <v>310</v>
      </c>
      <c r="AG7" s="525" t="s">
        <v>311</v>
      </c>
      <c r="AH7" s="525" t="s">
        <v>312</v>
      </c>
      <c r="AI7" s="525" t="s">
        <v>313</v>
      </c>
      <c r="AJ7" s="525" t="s">
        <v>314</v>
      </c>
      <c r="AK7" s="525" t="s">
        <v>315</v>
      </c>
      <c r="AL7" s="525" t="s">
        <v>316</v>
      </c>
      <c r="AM7" s="525" t="s">
        <v>317</v>
      </c>
      <c r="AN7" s="525" t="s">
        <v>318</v>
      </c>
      <c r="AO7" s="525" t="s">
        <v>319</v>
      </c>
      <c r="AP7" s="525" t="s">
        <v>320</v>
      </c>
      <c r="AQ7" s="525" t="s">
        <v>321</v>
      </c>
      <c r="AR7" s="525" t="s">
        <v>494</v>
      </c>
      <c r="AS7" s="526" t="s">
        <v>391</v>
      </c>
      <c r="AT7" s="524" t="s">
        <v>310</v>
      </c>
      <c r="AU7" s="525" t="s">
        <v>311</v>
      </c>
      <c r="AV7" s="525" t="s">
        <v>312</v>
      </c>
      <c r="AW7" s="525" t="s">
        <v>313</v>
      </c>
      <c r="AX7" s="525" t="s">
        <v>314</v>
      </c>
      <c r="AY7" s="525" t="s">
        <v>315</v>
      </c>
      <c r="AZ7" s="525" t="s">
        <v>316</v>
      </c>
      <c r="BA7" s="525" t="s">
        <v>317</v>
      </c>
      <c r="BB7" s="525" t="s">
        <v>318</v>
      </c>
      <c r="BC7" s="525" t="s">
        <v>319</v>
      </c>
      <c r="BD7" s="525" t="s">
        <v>320</v>
      </c>
      <c r="BE7" s="525" t="s">
        <v>321</v>
      </c>
      <c r="BF7" s="526" t="s">
        <v>566</v>
      </c>
      <c r="BG7" s="524" t="s">
        <v>310</v>
      </c>
      <c r="BH7" s="525" t="s">
        <v>311</v>
      </c>
      <c r="BI7" s="525" t="s">
        <v>312</v>
      </c>
      <c r="BJ7" s="525" t="s">
        <v>313</v>
      </c>
      <c r="BK7" s="525" t="s">
        <v>314</v>
      </c>
      <c r="BL7" s="525" t="s">
        <v>315</v>
      </c>
      <c r="BM7" s="525" t="s">
        <v>316</v>
      </c>
      <c r="BN7" s="525" t="s">
        <v>317</v>
      </c>
      <c r="BO7" s="525" t="s">
        <v>318</v>
      </c>
      <c r="BP7" s="525" t="s">
        <v>319</v>
      </c>
      <c r="BQ7" s="525" t="s">
        <v>320</v>
      </c>
      <c r="BR7" s="525" t="s">
        <v>321</v>
      </c>
      <c r="BS7" s="526" t="s">
        <v>567</v>
      </c>
    </row>
    <row r="8" spans="1:71">
      <c r="A8" s="527"/>
      <c r="B8" s="528" t="s">
        <v>323</v>
      </c>
      <c r="C8" s="529" t="s">
        <v>239</v>
      </c>
      <c r="D8" s="530">
        <v>1493802.4700000002</v>
      </c>
      <c r="E8" s="531">
        <v>1478972.49</v>
      </c>
      <c r="F8" s="531">
        <v>1502798.51</v>
      </c>
      <c r="G8" s="531">
        <v>1501419.8099999998</v>
      </c>
      <c r="H8" s="531">
        <v>1514602.2200000002</v>
      </c>
      <c r="I8" s="531">
        <v>1508383.9599999995</v>
      </c>
      <c r="J8" s="531">
        <v>1501783.4700000002</v>
      </c>
      <c r="K8" s="531">
        <v>1490311.3200000003</v>
      </c>
      <c r="L8" s="531">
        <v>1484965.1199999989</v>
      </c>
      <c r="M8" s="531">
        <v>1509831.3000000003</v>
      </c>
      <c r="N8" s="531">
        <v>1474925.3199999998</v>
      </c>
      <c r="O8" s="531">
        <v>1476734.92</v>
      </c>
      <c r="P8" s="531">
        <f t="shared" ref="P8:P20" si="0">Q8-(D8+E8+F8+G8+H8+I8+J8+K8+L8+M8+N8+O8)</f>
        <v>-251373.91000000015</v>
      </c>
      <c r="Q8" s="532">
        <v>17687157</v>
      </c>
      <c r="R8" s="530">
        <v>1633587</v>
      </c>
      <c r="S8" s="531">
        <v>1644991</v>
      </c>
      <c r="T8" s="531">
        <v>1737520</v>
      </c>
      <c r="U8" s="531">
        <v>1759808</v>
      </c>
      <c r="V8" s="531">
        <v>1760295</v>
      </c>
      <c r="W8" s="531">
        <v>1754265</v>
      </c>
      <c r="X8" s="531">
        <v>1765968</v>
      </c>
      <c r="Y8" s="531">
        <v>1761797</v>
      </c>
      <c r="Z8" s="531">
        <v>1744704.6123480017</v>
      </c>
      <c r="AA8" s="531">
        <v>1755475</v>
      </c>
      <c r="AB8" s="531">
        <v>1754778</v>
      </c>
      <c r="AC8" s="531">
        <f>1657580+7641+77485</f>
        <v>1742706</v>
      </c>
      <c r="AD8" s="531">
        <f t="shared" ref="AD8:AD20" si="1">AE8-(R8+S8+T8+U8+V8+W8+X8+Y8+Z8+AA8+AB8+AC8)</f>
        <v>360466.38765199855</v>
      </c>
      <c r="AE8" s="532">
        <v>21176361</v>
      </c>
      <c r="AF8" s="530">
        <v>1668273</v>
      </c>
      <c r="AG8" s="531">
        <v>1794701</v>
      </c>
      <c r="AH8" s="531">
        <v>1781585</v>
      </c>
      <c r="AI8" s="531">
        <v>1799261.9934080001</v>
      </c>
      <c r="AJ8" s="531">
        <f>1736905.1494</f>
        <v>1736905.1494</v>
      </c>
      <c r="AK8" s="531">
        <v>1747816</v>
      </c>
      <c r="AL8" s="531">
        <v>1737520.4503090023</v>
      </c>
      <c r="AM8" s="531">
        <v>1717045</v>
      </c>
      <c r="AN8" s="531">
        <v>1717205</v>
      </c>
      <c r="AO8" s="531">
        <v>1698689.0567960001</v>
      </c>
      <c r="AP8" s="531">
        <v>1684185</v>
      </c>
      <c r="AQ8" s="531">
        <v>1671626.9839899994</v>
      </c>
      <c r="AR8" s="531">
        <f t="shared" ref="AR8:AR21" si="2">AS8-(AF8+AG8+AH8+AI8+AJ8+AK8+AL8+AM8+AN8+AO8+AP8+AQ8)</f>
        <v>-587092.6339030005</v>
      </c>
      <c r="AS8" s="532">
        <v>20167721</v>
      </c>
      <c r="AT8" s="530">
        <v>1619456</v>
      </c>
      <c r="AU8" s="531">
        <f>2050623-89437</f>
        <v>1961186</v>
      </c>
      <c r="AV8" s="531">
        <f>2368706-56830</f>
        <v>2311876</v>
      </c>
      <c r="AW8" s="531">
        <v>2033768</v>
      </c>
      <c r="AX8" s="531">
        <f>(BF8-AT8-AU8-AV8-AW8)/8</f>
        <v>2178658.25</v>
      </c>
      <c r="AY8" s="531">
        <f t="shared" ref="AY8:BE21" si="3">AX8</f>
        <v>2178658.25</v>
      </c>
      <c r="AZ8" s="531">
        <f t="shared" si="3"/>
        <v>2178658.25</v>
      </c>
      <c r="BA8" s="531">
        <f t="shared" si="3"/>
        <v>2178658.25</v>
      </c>
      <c r="BB8" s="531">
        <f t="shared" si="3"/>
        <v>2178658.25</v>
      </c>
      <c r="BC8" s="531">
        <f t="shared" si="3"/>
        <v>2178658.25</v>
      </c>
      <c r="BD8" s="531">
        <f t="shared" si="3"/>
        <v>2178658.25</v>
      </c>
      <c r="BE8" s="531">
        <f t="shared" si="3"/>
        <v>2178658.25</v>
      </c>
      <c r="BF8" s="532">
        <f>24159554+194753+1001245</f>
        <v>25355552</v>
      </c>
      <c r="BG8" s="530">
        <f>BS8/12</f>
        <v>2019324</v>
      </c>
      <c r="BH8" s="531">
        <f>BG8</f>
        <v>2019324</v>
      </c>
      <c r="BI8" s="531">
        <f t="shared" ref="BI8:BR8" si="4">BH8</f>
        <v>2019324</v>
      </c>
      <c r="BJ8" s="531">
        <f t="shared" si="4"/>
        <v>2019324</v>
      </c>
      <c r="BK8" s="531">
        <f t="shared" si="4"/>
        <v>2019324</v>
      </c>
      <c r="BL8" s="531">
        <f t="shared" si="4"/>
        <v>2019324</v>
      </c>
      <c r="BM8" s="531">
        <f t="shared" si="4"/>
        <v>2019324</v>
      </c>
      <c r="BN8" s="531">
        <f t="shared" si="4"/>
        <v>2019324</v>
      </c>
      <c r="BO8" s="531">
        <f t="shared" si="4"/>
        <v>2019324</v>
      </c>
      <c r="BP8" s="531">
        <f t="shared" si="4"/>
        <v>2019324</v>
      </c>
      <c r="BQ8" s="531">
        <f t="shared" si="4"/>
        <v>2019324</v>
      </c>
      <c r="BR8" s="531">
        <f t="shared" si="4"/>
        <v>2019324</v>
      </c>
      <c r="BS8" s="532">
        <v>24231888</v>
      </c>
    </row>
    <row r="9" spans="1:71">
      <c r="A9" s="527"/>
      <c r="B9" s="528" t="s">
        <v>324</v>
      </c>
      <c r="C9" s="529" t="s">
        <v>240</v>
      </c>
      <c r="D9" s="530">
        <v>42510.619999999988</v>
      </c>
      <c r="E9" s="531">
        <v>42162.67</v>
      </c>
      <c r="F9" s="531">
        <v>42998.959999999992</v>
      </c>
      <c r="G9" s="531">
        <v>43076.110000000008</v>
      </c>
      <c r="H9" s="531">
        <v>43151.180000000022</v>
      </c>
      <c r="I9" s="531">
        <v>43312.62</v>
      </c>
      <c r="J9" s="531">
        <v>43677.72</v>
      </c>
      <c r="K9" s="531">
        <v>96110.609999999986</v>
      </c>
      <c r="L9" s="531">
        <v>43048.070000000007</v>
      </c>
      <c r="M9" s="531">
        <v>84058.130000000048</v>
      </c>
      <c r="N9" s="531">
        <v>78457.430000000124</v>
      </c>
      <c r="O9" s="531">
        <v>43313.479999999989</v>
      </c>
      <c r="P9" s="531">
        <f t="shared" si="0"/>
        <v>85708.39999999979</v>
      </c>
      <c r="Q9" s="532">
        <v>731586</v>
      </c>
      <c r="R9" s="530">
        <v>45769</v>
      </c>
      <c r="S9" s="531">
        <v>53033</v>
      </c>
      <c r="T9" s="531">
        <v>51850</v>
      </c>
      <c r="U9" s="531">
        <v>60172</v>
      </c>
      <c r="V9" s="531">
        <v>59710</v>
      </c>
      <c r="W9" s="531">
        <v>71900</v>
      </c>
      <c r="X9" s="531">
        <v>67842</v>
      </c>
      <c r="Y9" s="531">
        <v>85914</v>
      </c>
      <c r="Z9" s="531">
        <v>64903.583057999975</v>
      </c>
      <c r="AA9" s="531">
        <v>62830</v>
      </c>
      <c r="AB9" s="531">
        <v>75228</v>
      </c>
      <c r="AC9" s="531">
        <v>48481</v>
      </c>
      <c r="AD9" s="531">
        <f t="shared" si="1"/>
        <v>87266.41694200004</v>
      </c>
      <c r="AE9" s="532">
        <v>834899</v>
      </c>
      <c r="AF9" s="530">
        <v>48395</v>
      </c>
      <c r="AG9" s="531">
        <v>60519</v>
      </c>
      <c r="AH9" s="531">
        <v>66548</v>
      </c>
      <c r="AI9" s="531">
        <v>63768.933103999996</v>
      </c>
      <c r="AJ9" s="531">
        <v>65815</v>
      </c>
      <c r="AK9" s="531">
        <v>67951</v>
      </c>
      <c r="AL9" s="531">
        <v>70670</v>
      </c>
      <c r="AM9" s="531">
        <v>69878</v>
      </c>
      <c r="AN9" s="531">
        <v>67569</v>
      </c>
      <c r="AO9" s="531">
        <v>71499.765483999974</v>
      </c>
      <c r="AP9" s="531">
        <v>78658</v>
      </c>
      <c r="AQ9" s="531">
        <v>96713.546721999999</v>
      </c>
      <c r="AR9" s="531">
        <f t="shared" si="2"/>
        <v>-40329.245310000028</v>
      </c>
      <c r="AS9" s="532">
        <v>787656</v>
      </c>
      <c r="AT9" s="530">
        <v>49314</v>
      </c>
      <c r="AU9" s="531">
        <v>76568</v>
      </c>
      <c r="AV9" s="531">
        <v>102210</v>
      </c>
      <c r="AW9" s="531">
        <v>83680</v>
      </c>
      <c r="AX9" s="531">
        <f t="shared" ref="AX9:AX20" si="5">(BF9-AT9-AU9-AV9-AW9)/8</f>
        <v>47183.25</v>
      </c>
      <c r="AY9" s="531">
        <f t="shared" si="3"/>
        <v>47183.25</v>
      </c>
      <c r="AZ9" s="531">
        <f t="shared" si="3"/>
        <v>47183.25</v>
      </c>
      <c r="BA9" s="531">
        <f t="shared" si="3"/>
        <v>47183.25</v>
      </c>
      <c r="BB9" s="531">
        <f t="shared" si="3"/>
        <v>47183.25</v>
      </c>
      <c r="BC9" s="531">
        <f t="shared" si="3"/>
        <v>47183.25</v>
      </c>
      <c r="BD9" s="531">
        <f t="shared" si="3"/>
        <v>47183.25</v>
      </c>
      <c r="BE9" s="531">
        <f t="shared" si="3"/>
        <v>47183.25</v>
      </c>
      <c r="BF9" s="532">
        <v>689238</v>
      </c>
      <c r="BG9" s="530">
        <f t="shared" ref="BG9:BG21" si="6">BS9/12</f>
        <v>84697.916666666672</v>
      </c>
      <c r="BH9" s="531">
        <f t="shared" ref="BH9:BR21" si="7">BG9</f>
        <v>84697.916666666672</v>
      </c>
      <c r="BI9" s="531">
        <f t="shared" si="7"/>
        <v>84697.916666666672</v>
      </c>
      <c r="BJ9" s="531">
        <f t="shared" si="7"/>
        <v>84697.916666666672</v>
      </c>
      <c r="BK9" s="531">
        <f t="shared" si="7"/>
        <v>84697.916666666672</v>
      </c>
      <c r="BL9" s="531">
        <f t="shared" si="7"/>
        <v>84697.916666666672</v>
      </c>
      <c r="BM9" s="531">
        <f t="shared" si="7"/>
        <v>84697.916666666672</v>
      </c>
      <c r="BN9" s="531">
        <f t="shared" si="7"/>
        <v>84697.916666666672</v>
      </c>
      <c r="BO9" s="531">
        <f t="shared" si="7"/>
        <v>84697.916666666672</v>
      </c>
      <c r="BP9" s="531">
        <f t="shared" si="7"/>
        <v>84697.916666666672</v>
      </c>
      <c r="BQ9" s="531">
        <f t="shared" si="7"/>
        <v>84697.916666666672</v>
      </c>
      <c r="BR9" s="531">
        <f t="shared" si="7"/>
        <v>84697.916666666672</v>
      </c>
      <c r="BS9" s="532">
        <v>1016375</v>
      </c>
    </row>
    <row r="10" spans="1:71">
      <c r="A10" s="527"/>
      <c r="B10" s="528" t="s">
        <v>325</v>
      </c>
      <c r="C10" s="529" t="s">
        <v>241</v>
      </c>
      <c r="D10" s="530"/>
      <c r="E10" s="531"/>
      <c r="F10" s="531"/>
      <c r="G10" s="531"/>
      <c r="H10" s="531"/>
      <c r="I10" s="531"/>
      <c r="J10" s="531"/>
      <c r="K10" s="531"/>
      <c r="L10" s="531"/>
      <c r="M10" s="531"/>
      <c r="N10" s="531"/>
      <c r="O10" s="531"/>
      <c r="P10" s="531">
        <f t="shared" si="0"/>
        <v>226543</v>
      </c>
      <c r="Q10" s="532">
        <v>226543</v>
      </c>
      <c r="R10" s="530">
        <v>0</v>
      </c>
      <c r="S10" s="531">
        <v>0</v>
      </c>
      <c r="T10" s="531">
        <f t="shared" ref="T10:T20" si="8">(AE10-R10-S10)/10</f>
        <v>0.1</v>
      </c>
      <c r="U10" s="531">
        <v>0</v>
      </c>
      <c r="V10" s="531">
        <v>0</v>
      </c>
      <c r="W10" s="531">
        <f t="shared" ref="W10:W20" si="9">(AE10-R10-S10-T10-U10-V10)/7</f>
        <v>0.12857142857142859</v>
      </c>
      <c r="X10" s="531">
        <f t="shared" ref="X10:X20" si="10">(AE10-R10-S10-T10-U10-V10-W10)/6</f>
        <v>0.12857142857142859</v>
      </c>
      <c r="Y10" s="531">
        <f t="shared" ref="Y10:Z20" si="11">(AE10-R10-S10-T10-U10-V10-W10-X10)/5</f>
        <v>0.12857142857142859</v>
      </c>
      <c r="Z10" s="531">
        <f t="shared" si="11"/>
        <v>-9.7142857142857156E-2</v>
      </c>
      <c r="AA10" s="531">
        <f t="shared" ref="AA10:AA20" si="12">(AE10-R10-S10-T10-U10-V10-W10-X10-Y10-Z10)/3</f>
        <v>0.20380952380952386</v>
      </c>
      <c r="AB10" s="531">
        <f t="shared" ref="AB10:AB20" si="13">(AE10-R10-S10-T10-U10-V10-W10-X10-Y10-Z10-AA10)/2</f>
        <v>0.20380952380952383</v>
      </c>
      <c r="AC10" s="531">
        <f t="shared" ref="AC10:AC20" si="14">AE10-R10-S10-T10-U10-V10-W10-X10-Y10-Z10-AA10-AB10</f>
        <v>0.20380952380952383</v>
      </c>
      <c r="AD10" s="531">
        <f t="shared" si="1"/>
        <v>0</v>
      </c>
      <c r="AE10" s="532">
        <v>1</v>
      </c>
      <c r="AF10" s="530">
        <f t="shared" ref="AF10:AF20" si="15">AS10/12</f>
        <v>0</v>
      </c>
      <c r="AG10" s="531">
        <v>400</v>
      </c>
      <c r="AH10" s="531">
        <v>0</v>
      </c>
      <c r="AI10" s="531">
        <v>0</v>
      </c>
      <c r="AJ10" s="531">
        <v>0</v>
      </c>
      <c r="AK10" s="531">
        <v>0</v>
      </c>
      <c r="AL10" s="531">
        <v>0</v>
      </c>
      <c r="AM10" s="531">
        <v>0</v>
      </c>
      <c r="AN10" s="531">
        <v>0</v>
      </c>
      <c r="AO10" s="531">
        <v>0</v>
      </c>
      <c r="AP10" s="531">
        <v>0</v>
      </c>
      <c r="AQ10" s="531">
        <v>0</v>
      </c>
      <c r="AR10" s="531">
        <f t="shared" si="2"/>
        <v>-400</v>
      </c>
      <c r="AS10" s="532">
        <v>0</v>
      </c>
      <c r="AT10" s="530">
        <f t="shared" ref="AT10:AT11" si="16">BF10/12</f>
        <v>0</v>
      </c>
      <c r="AU10" s="531">
        <f t="shared" ref="AU10:AU20" si="17">(BF10-AT10)/11</f>
        <v>0</v>
      </c>
      <c r="AV10" s="531">
        <f t="shared" ref="AV10:AV20" si="18">(BF10-AT10-AU10)/10</f>
        <v>0</v>
      </c>
      <c r="AW10" s="531">
        <v>0</v>
      </c>
      <c r="AX10" s="531">
        <f t="shared" si="5"/>
        <v>0</v>
      </c>
      <c r="AY10" s="531">
        <f t="shared" si="3"/>
        <v>0</v>
      </c>
      <c r="AZ10" s="531">
        <f t="shared" si="3"/>
        <v>0</v>
      </c>
      <c r="BA10" s="531">
        <f t="shared" si="3"/>
        <v>0</v>
      </c>
      <c r="BB10" s="531">
        <f t="shared" si="3"/>
        <v>0</v>
      </c>
      <c r="BC10" s="531">
        <f t="shared" si="3"/>
        <v>0</v>
      </c>
      <c r="BD10" s="531">
        <f t="shared" si="3"/>
        <v>0</v>
      </c>
      <c r="BE10" s="531">
        <f t="shared" si="3"/>
        <v>0</v>
      </c>
      <c r="BF10" s="532">
        <v>0</v>
      </c>
      <c r="BG10" s="530">
        <f t="shared" si="6"/>
        <v>0</v>
      </c>
      <c r="BH10" s="531">
        <f t="shared" si="7"/>
        <v>0</v>
      </c>
      <c r="BI10" s="531">
        <f t="shared" si="7"/>
        <v>0</v>
      </c>
      <c r="BJ10" s="531">
        <f t="shared" si="7"/>
        <v>0</v>
      </c>
      <c r="BK10" s="531">
        <f t="shared" si="7"/>
        <v>0</v>
      </c>
      <c r="BL10" s="531">
        <f t="shared" si="7"/>
        <v>0</v>
      </c>
      <c r="BM10" s="531">
        <f t="shared" si="7"/>
        <v>0</v>
      </c>
      <c r="BN10" s="531">
        <f t="shared" si="7"/>
        <v>0</v>
      </c>
      <c r="BO10" s="531">
        <f t="shared" si="7"/>
        <v>0</v>
      </c>
      <c r="BP10" s="531">
        <f t="shared" si="7"/>
        <v>0</v>
      </c>
      <c r="BQ10" s="531">
        <f t="shared" si="7"/>
        <v>0</v>
      </c>
      <c r="BR10" s="531">
        <f t="shared" si="7"/>
        <v>0</v>
      </c>
      <c r="BS10" s="532">
        <v>0</v>
      </c>
    </row>
    <row r="11" spans="1:71">
      <c r="A11" s="527"/>
      <c r="B11" s="528" t="s">
        <v>326</v>
      </c>
      <c r="C11" s="529" t="s">
        <v>242</v>
      </c>
      <c r="D11" s="530"/>
      <c r="E11" s="531"/>
      <c r="F11" s="531"/>
      <c r="G11" s="531"/>
      <c r="H11" s="531"/>
      <c r="I11" s="531"/>
      <c r="J11" s="531"/>
      <c r="K11" s="531"/>
      <c r="L11" s="531"/>
      <c r="M11" s="531"/>
      <c r="N11" s="531"/>
      <c r="O11" s="531"/>
      <c r="P11" s="531">
        <f t="shared" si="0"/>
        <v>0</v>
      </c>
      <c r="Q11" s="532">
        <v>0</v>
      </c>
      <c r="R11" s="530">
        <v>0</v>
      </c>
      <c r="S11" s="531">
        <v>0</v>
      </c>
      <c r="T11" s="531">
        <f t="shared" si="8"/>
        <v>0</v>
      </c>
      <c r="U11" s="531">
        <v>0</v>
      </c>
      <c r="V11" s="531">
        <f t="shared" ref="V11:V20" si="19">(AE11-R11-S11-T11-U11)/8</f>
        <v>0</v>
      </c>
      <c r="W11" s="531">
        <f t="shared" si="9"/>
        <v>0</v>
      </c>
      <c r="X11" s="531">
        <f t="shared" si="10"/>
        <v>0</v>
      </c>
      <c r="Y11" s="531">
        <f t="shared" si="11"/>
        <v>0</v>
      </c>
      <c r="Z11" s="531">
        <f t="shared" si="11"/>
        <v>0</v>
      </c>
      <c r="AA11" s="531">
        <f t="shared" si="12"/>
        <v>0</v>
      </c>
      <c r="AB11" s="531">
        <f t="shared" si="13"/>
        <v>0</v>
      </c>
      <c r="AC11" s="531">
        <f t="shared" si="14"/>
        <v>0</v>
      </c>
      <c r="AD11" s="531">
        <f t="shared" si="1"/>
        <v>0</v>
      </c>
      <c r="AE11" s="532">
        <v>0</v>
      </c>
      <c r="AF11" s="530">
        <f t="shared" si="15"/>
        <v>0</v>
      </c>
      <c r="AG11" s="531">
        <f t="shared" ref="AG11:AG20" si="20">(AS11-AF11)/11</f>
        <v>0</v>
      </c>
      <c r="AH11" s="531">
        <f t="shared" ref="AH11:AH20" si="21">(AS11-AF11-AG11)/10</f>
        <v>0</v>
      </c>
      <c r="AI11" s="531">
        <f t="shared" ref="AI11:AI20" si="22">(AS11-AF11-AG11-AH11)/9</f>
        <v>0</v>
      </c>
      <c r="AJ11" s="531">
        <f t="shared" ref="AJ11:AJ20" si="23">(AS11-AF11-AG11-AH11-AI11)/8</f>
        <v>0</v>
      </c>
      <c r="AK11" s="531">
        <v>0</v>
      </c>
      <c r="AL11" s="531">
        <f t="shared" ref="AL11:AL20" si="24">(AS11-AF11-AG11-AH11-AI11-AJ11-AK11)/6</f>
        <v>0</v>
      </c>
      <c r="AM11" s="531">
        <f t="shared" ref="AM11:AM20" si="25">(AS11-AF11-AG11-AH11-AI11-AJ11-AK11-AL11)/5</f>
        <v>0</v>
      </c>
      <c r="AN11" s="531">
        <f t="shared" ref="AN11:AN20" si="26">(AS11-AF11-AG11-AH11-AI11-AJ11-AK11-AL11-AM11)/4</f>
        <v>0</v>
      </c>
      <c r="AO11" s="531">
        <f t="shared" ref="AO11:AO20" si="27">(AS11-AF11-AG11-AH11-AI11-AJ11-AK11-AL11-AM11-AN11)/3</f>
        <v>0</v>
      </c>
      <c r="AP11" s="531">
        <v>0</v>
      </c>
      <c r="AQ11" s="531">
        <f t="shared" ref="AQ11:AQ20" si="28">AS11-AF11-AG11-AH11-AI11-AJ11-AK11-AL11-AM11-AN11-AO11-AP11</f>
        <v>0</v>
      </c>
      <c r="AR11" s="531">
        <f t="shared" si="2"/>
        <v>0</v>
      </c>
      <c r="AS11" s="532">
        <v>0</v>
      </c>
      <c r="AT11" s="530">
        <f t="shared" si="16"/>
        <v>0</v>
      </c>
      <c r="AU11" s="531">
        <f t="shared" si="17"/>
        <v>0</v>
      </c>
      <c r="AV11" s="531">
        <f t="shared" si="18"/>
        <v>0</v>
      </c>
      <c r="AW11" s="531">
        <f t="shared" ref="AW11:AW20" si="29">(BF11-AT11-AU11-AV11)/9</f>
        <v>0</v>
      </c>
      <c r="AX11" s="531">
        <f t="shared" si="5"/>
        <v>0</v>
      </c>
      <c r="AY11" s="531">
        <f t="shared" si="3"/>
        <v>0</v>
      </c>
      <c r="AZ11" s="531">
        <f t="shared" si="3"/>
        <v>0</v>
      </c>
      <c r="BA11" s="531">
        <f t="shared" si="3"/>
        <v>0</v>
      </c>
      <c r="BB11" s="531">
        <f t="shared" si="3"/>
        <v>0</v>
      </c>
      <c r="BC11" s="531">
        <f t="shared" si="3"/>
        <v>0</v>
      </c>
      <c r="BD11" s="531">
        <f t="shared" si="3"/>
        <v>0</v>
      </c>
      <c r="BE11" s="531">
        <f t="shared" si="3"/>
        <v>0</v>
      </c>
      <c r="BF11" s="532">
        <v>0</v>
      </c>
      <c r="BG11" s="530">
        <f t="shared" si="6"/>
        <v>0</v>
      </c>
      <c r="BH11" s="531">
        <f t="shared" si="7"/>
        <v>0</v>
      </c>
      <c r="BI11" s="531">
        <f t="shared" si="7"/>
        <v>0</v>
      </c>
      <c r="BJ11" s="531">
        <f t="shared" si="7"/>
        <v>0</v>
      </c>
      <c r="BK11" s="531">
        <f t="shared" si="7"/>
        <v>0</v>
      </c>
      <c r="BL11" s="531">
        <f t="shared" si="7"/>
        <v>0</v>
      </c>
      <c r="BM11" s="531">
        <f t="shared" si="7"/>
        <v>0</v>
      </c>
      <c r="BN11" s="531">
        <f t="shared" si="7"/>
        <v>0</v>
      </c>
      <c r="BO11" s="531">
        <f t="shared" si="7"/>
        <v>0</v>
      </c>
      <c r="BP11" s="531">
        <f t="shared" si="7"/>
        <v>0</v>
      </c>
      <c r="BQ11" s="531">
        <f t="shared" si="7"/>
        <v>0</v>
      </c>
      <c r="BR11" s="531">
        <f t="shared" si="7"/>
        <v>0</v>
      </c>
      <c r="BS11" s="532">
        <v>0</v>
      </c>
    </row>
    <row r="12" spans="1:71">
      <c r="A12" s="527"/>
      <c r="B12" s="528" t="s">
        <v>327</v>
      </c>
      <c r="C12" s="529" t="s">
        <v>243</v>
      </c>
      <c r="D12" s="530">
        <v>0</v>
      </c>
      <c r="E12" s="531">
        <v>0</v>
      </c>
      <c r="F12" s="531">
        <v>0</v>
      </c>
      <c r="G12" s="531">
        <v>0</v>
      </c>
      <c r="H12" s="531">
        <v>151.85</v>
      </c>
      <c r="I12" s="531">
        <v>0</v>
      </c>
      <c r="J12" s="531">
        <v>0</v>
      </c>
      <c r="K12" s="531">
        <v>0</v>
      </c>
      <c r="L12" s="531">
        <v>0</v>
      </c>
      <c r="M12" s="531">
        <v>0</v>
      </c>
      <c r="N12" s="531">
        <v>0</v>
      </c>
      <c r="O12" s="531">
        <v>0</v>
      </c>
      <c r="P12" s="531">
        <f t="shared" si="0"/>
        <v>20.150000000000006</v>
      </c>
      <c r="Q12" s="532">
        <v>172</v>
      </c>
      <c r="R12" s="530">
        <v>247</v>
      </c>
      <c r="S12" s="531">
        <v>313</v>
      </c>
      <c r="T12" s="531">
        <v>235</v>
      </c>
      <c r="U12" s="531">
        <v>189</v>
      </c>
      <c r="V12" s="531">
        <v>371</v>
      </c>
      <c r="W12" s="531">
        <v>174</v>
      </c>
      <c r="X12" s="531">
        <v>569</v>
      </c>
      <c r="Y12" s="531">
        <v>15357</v>
      </c>
      <c r="Z12" s="531">
        <v>2065</v>
      </c>
      <c r="AA12" s="531">
        <v>299</v>
      </c>
      <c r="AB12" s="531">
        <v>2258</v>
      </c>
      <c r="AC12" s="531">
        <v>0</v>
      </c>
      <c r="AD12" s="531">
        <f t="shared" si="1"/>
        <v>-14697</v>
      </c>
      <c r="AE12" s="532">
        <v>7380</v>
      </c>
      <c r="AF12" s="530">
        <v>0</v>
      </c>
      <c r="AG12" s="531">
        <v>5799</v>
      </c>
      <c r="AH12" s="531">
        <v>0</v>
      </c>
      <c r="AI12" s="531">
        <v>-582</v>
      </c>
      <c r="AJ12" s="531">
        <v>-881</v>
      </c>
      <c r="AK12" s="531">
        <v>1108</v>
      </c>
      <c r="AL12" s="531">
        <v>481</v>
      </c>
      <c r="AM12" s="531">
        <v>279</v>
      </c>
      <c r="AN12" s="531">
        <v>-500</v>
      </c>
      <c r="AO12" s="531">
        <v>211.01653199999987</v>
      </c>
      <c r="AP12" s="531">
        <v>95</v>
      </c>
      <c r="AQ12" s="531">
        <v>220.89759300000003</v>
      </c>
      <c r="AR12" s="531">
        <v>220.89759300000003</v>
      </c>
      <c r="AS12" s="532">
        <v>7479</v>
      </c>
      <c r="AT12" s="530">
        <v>13</v>
      </c>
      <c r="AU12" s="531">
        <v>182</v>
      </c>
      <c r="AV12" s="531">
        <v>156</v>
      </c>
      <c r="AW12" s="531">
        <v>107</v>
      </c>
      <c r="AX12" s="531">
        <f t="shared" si="5"/>
        <v>67.75</v>
      </c>
      <c r="AY12" s="531">
        <f t="shared" si="3"/>
        <v>67.75</v>
      </c>
      <c r="AZ12" s="531">
        <f t="shared" si="3"/>
        <v>67.75</v>
      </c>
      <c r="BA12" s="531">
        <f t="shared" si="3"/>
        <v>67.75</v>
      </c>
      <c r="BB12" s="531">
        <f t="shared" si="3"/>
        <v>67.75</v>
      </c>
      <c r="BC12" s="531">
        <f t="shared" si="3"/>
        <v>67.75</v>
      </c>
      <c r="BD12" s="531">
        <f t="shared" si="3"/>
        <v>67.75</v>
      </c>
      <c r="BE12" s="531">
        <f t="shared" si="3"/>
        <v>67.75</v>
      </c>
      <c r="BF12" s="532">
        <v>1000</v>
      </c>
      <c r="BG12" s="530">
        <f t="shared" si="6"/>
        <v>0</v>
      </c>
      <c r="BH12" s="531">
        <f t="shared" si="7"/>
        <v>0</v>
      </c>
      <c r="BI12" s="531">
        <f t="shared" si="7"/>
        <v>0</v>
      </c>
      <c r="BJ12" s="531">
        <f t="shared" si="7"/>
        <v>0</v>
      </c>
      <c r="BK12" s="531">
        <f t="shared" si="7"/>
        <v>0</v>
      </c>
      <c r="BL12" s="531">
        <f t="shared" si="7"/>
        <v>0</v>
      </c>
      <c r="BM12" s="531">
        <f t="shared" si="7"/>
        <v>0</v>
      </c>
      <c r="BN12" s="531">
        <f t="shared" si="7"/>
        <v>0</v>
      </c>
      <c r="BO12" s="531">
        <f t="shared" si="7"/>
        <v>0</v>
      </c>
      <c r="BP12" s="531">
        <f t="shared" si="7"/>
        <v>0</v>
      </c>
      <c r="BQ12" s="531">
        <f t="shared" si="7"/>
        <v>0</v>
      </c>
      <c r="BR12" s="531">
        <f t="shared" si="7"/>
        <v>0</v>
      </c>
      <c r="BS12" s="532">
        <v>0</v>
      </c>
    </row>
    <row r="13" spans="1:71">
      <c r="A13" s="527"/>
      <c r="B13" s="528" t="s">
        <v>328</v>
      </c>
      <c r="C13" s="529" t="s">
        <v>244</v>
      </c>
      <c r="D13" s="530">
        <v>0</v>
      </c>
      <c r="E13" s="531">
        <v>0</v>
      </c>
      <c r="F13" s="531">
        <v>0</v>
      </c>
      <c r="G13" s="531">
        <v>48914.999999999985</v>
      </c>
      <c r="H13" s="531">
        <v>0</v>
      </c>
      <c r="I13" s="531">
        <v>0</v>
      </c>
      <c r="J13" s="531">
        <v>0</v>
      </c>
      <c r="K13" s="531">
        <v>0</v>
      </c>
      <c r="L13" s="531">
        <v>0</v>
      </c>
      <c r="M13" s="531">
        <v>0</v>
      </c>
      <c r="N13" s="531">
        <v>1.4551915228366852E-11</v>
      </c>
      <c r="O13" s="531">
        <v>0</v>
      </c>
      <c r="P13" s="531">
        <f t="shared" si="0"/>
        <v>19048</v>
      </c>
      <c r="Q13" s="532">
        <v>67963</v>
      </c>
      <c r="R13" s="530">
        <v>43</v>
      </c>
      <c r="S13" s="531">
        <v>23545</v>
      </c>
      <c r="T13" s="531">
        <v>1382</v>
      </c>
      <c r="U13" s="531">
        <v>17330</v>
      </c>
      <c r="V13" s="531">
        <v>50538</v>
      </c>
      <c r="W13" s="531">
        <v>2770</v>
      </c>
      <c r="X13" s="531">
        <v>20932</v>
      </c>
      <c r="Y13" s="531">
        <v>37791</v>
      </c>
      <c r="Z13" s="531">
        <v>28450</v>
      </c>
      <c r="AA13" s="531">
        <v>13192</v>
      </c>
      <c r="AB13" s="531">
        <v>22386</v>
      </c>
      <c r="AC13" s="531">
        <v>5419</v>
      </c>
      <c r="AD13" s="531">
        <f t="shared" si="1"/>
        <v>-197341</v>
      </c>
      <c r="AE13" s="532">
        <v>26437</v>
      </c>
      <c r="AF13" s="530">
        <v>0</v>
      </c>
      <c r="AG13" s="531">
        <v>21779</v>
      </c>
      <c r="AH13" s="531">
        <v>708</v>
      </c>
      <c r="AI13" s="531">
        <v>840</v>
      </c>
      <c r="AJ13" s="531">
        <v>470</v>
      </c>
      <c r="AK13" s="531">
        <v>74708</v>
      </c>
      <c r="AL13" s="531">
        <v>15505</v>
      </c>
      <c r="AM13" s="531">
        <v>7152</v>
      </c>
      <c r="AN13" s="531">
        <v>44596</v>
      </c>
      <c r="AO13" s="531">
        <v>397.25111199999651</v>
      </c>
      <c r="AP13" s="531">
        <v>28484</v>
      </c>
      <c r="AQ13" s="531">
        <v>700.39997699999981</v>
      </c>
      <c r="AR13" s="531">
        <v>700.39997699999981</v>
      </c>
      <c r="AS13" s="532">
        <v>227600</v>
      </c>
      <c r="AT13" s="530">
        <v>21570</v>
      </c>
      <c r="AU13" s="531">
        <v>45055</v>
      </c>
      <c r="AV13" s="531">
        <v>2885</v>
      </c>
      <c r="AW13" s="531">
        <v>18108</v>
      </c>
      <c r="AX13" s="531">
        <f t="shared" si="5"/>
        <v>1422.75</v>
      </c>
      <c r="AY13" s="531">
        <f t="shared" si="3"/>
        <v>1422.75</v>
      </c>
      <c r="AZ13" s="531">
        <f t="shared" si="3"/>
        <v>1422.75</v>
      </c>
      <c r="BA13" s="531">
        <f t="shared" si="3"/>
        <v>1422.75</v>
      </c>
      <c r="BB13" s="531">
        <f t="shared" si="3"/>
        <v>1422.75</v>
      </c>
      <c r="BC13" s="531">
        <f t="shared" si="3"/>
        <v>1422.75</v>
      </c>
      <c r="BD13" s="531">
        <f t="shared" si="3"/>
        <v>1422.75</v>
      </c>
      <c r="BE13" s="531">
        <f t="shared" si="3"/>
        <v>1422.75</v>
      </c>
      <c r="BF13" s="532">
        <v>99000</v>
      </c>
      <c r="BG13" s="530">
        <f t="shared" si="6"/>
        <v>9385.4166666666661</v>
      </c>
      <c r="BH13" s="531">
        <f t="shared" si="7"/>
        <v>9385.4166666666661</v>
      </c>
      <c r="BI13" s="531">
        <f t="shared" si="7"/>
        <v>9385.4166666666661</v>
      </c>
      <c r="BJ13" s="531">
        <f t="shared" si="7"/>
        <v>9385.4166666666661</v>
      </c>
      <c r="BK13" s="531">
        <f t="shared" si="7"/>
        <v>9385.4166666666661</v>
      </c>
      <c r="BL13" s="531">
        <f t="shared" si="7"/>
        <v>9385.4166666666661</v>
      </c>
      <c r="BM13" s="531">
        <f t="shared" si="7"/>
        <v>9385.4166666666661</v>
      </c>
      <c r="BN13" s="531">
        <f t="shared" si="7"/>
        <v>9385.4166666666661</v>
      </c>
      <c r="BO13" s="531">
        <f t="shared" si="7"/>
        <v>9385.4166666666661</v>
      </c>
      <c r="BP13" s="531">
        <f t="shared" si="7"/>
        <v>9385.4166666666661</v>
      </c>
      <c r="BQ13" s="531">
        <f t="shared" si="7"/>
        <v>9385.4166666666661</v>
      </c>
      <c r="BR13" s="531">
        <f t="shared" si="7"/>
        <v>9385.4166666666661</v>
      </c>
      <c r="BS13" s="532">
        <v>112625</v>
      </c>
    </row>
    <row r="14" spans="1:71">
      <c r="A14" s="527"/>
      <c r="B14" s="528" t="s">
        <v>329</v>
      </c>
      <c r="C14" s="529" t="s">
        <v>245</v>
      </c>
      <c r="D14" s="530">
        <v>0</v>
      </c>
      <c r="E14" s="531">
        <v>1050.7500000000002</v>
      </c>
      <c r="F14" s="531">
        <v>944.6500000000002</v>
      </c>
      <c r="G14" s="531">
        <v>0</v>
      </c>
      <c r="H14" s="531">
        <v>1669.5200000000004</v>
      </c>
      <c r="I14" s="531">
        <v>0</v>
      </c>
      <c r="J14" s="531">
        <v>228.48</v>
      </c>
      <c r="K14" s="531">
        <v>0</v>
      </c>
      <c r="L14" s="531">
        <v>69.47</v>
      </c>
      <c r="M14" s="531">
        <v>50.530000000000015</v>
      </c>
      <c r="N14" s="531">
        <v>-4.5474735088646412E-13</v>
      </c>
      <c r="O14" s="531">
        <v>4325.5999999999995</v>
      </c>
      <c r="P14" s="531">
        <f t="shared" si="0"/>
        <v>1107</v>
      </c>
      <c r="Q14" s="532">
        <v>9446</v>
      </c>
      <c r="R14" s="530">
        <v>386</v>
      </c>
      <c r="S14" s="531">
        <v>2752</v>
      </c>
      <c r="T14" s="531">
        <v>1340</v>
      </c>
      <c r="U14" s="531">
        <v>1150</v>
      </c>
      <c r="V14" s="531">
        <v>1303</v>
      </c>
      <c r="W14" s="531">
        <v>3354</v>
      </c>
      <c r="X14" s="531">
        <v>2585</v>
      </c>
      <c r="Y14" s="531">
        <v>2848</v>
      </c>
      <c r="Z14" s="531">
        <v>103</v>
      </c>
      <c r="AA14" s="531">
        <v>62</v>
      </c>
      <c r="AB14" s="531">
        <v>677</v>
      </c>
      <c r="AC14" s="531">
        <v>0</v>
      </c>
      <c r="AD14" s="531">
        <f t="shared" si="1"/>
        <v>2468</v>
      </c>
      <c r="AE14" s="532">
        <v>19028</v>
      </c>
      <c r="AF14" s="530">
        <v>0</v>
      </c>
      <c r="AG14" s="531">
        <v>0</v>
      </c>
      <c r="AH14" s="531">
        <v>0</v>
      </c>
      <c r="AI14" s="531">
        <v>0</v>
      </c>
      <c r="AJ14" s="531">
        <v>0</v>
      </c>
      <c r="AK14" s="531">
        <v>0</v>
      </c>
      <c r="AL14" s="531">
        <v>0</v>
      </c>
      <c r="AM14" s="531">
        <v>0</v>
      </c>
      <c r="AN14" s="531">
        <v>0</v>
      </c>
      <c r="AO14" s="531">
        <v>0</v>
      </c>
      <c r="AP14" s="531">
        <v>0</v>
      </c>
      <c r="AQ14" s="531"/>
      <c r="AR14" s="531">
        <f t="shared" si="2"/>
        <v>22564</v>
      </c>
      <c r="AS14" s="532">
        <v>22564</v>
      </c>
      <c r="AT14" s="530">
        <v>0</v>
      </c>
      <c r="AU14" s="531">
        <v>0</v>
      </c>
      <c r="AV14" s="531">
        <v>0</v>
      </c>
      <c r="AW14" s="531"/>
      <c r="AX14" s="531">
        <f t="shared" si="5"/>
        <v>11324.125</v>
      </c>
      <c r="AY14" s="531">
        <f t="shared" si="3"/>
        <v>11324.125</v>
      </c>
      <c r="AZ14" s="531">
        <f t="shared" si="3"/>
        <v>11324.125</v>
      </c>
      <c r="BA14" s="531">
        <f t="shared" si="3"/>
        <v>11324.125</v>
      </c>
      <c r="BB14" s="531">
        <f t="shared" si="3"/>
        <v>11324.125</v>
      </c>
      <c r="BC14" s="531">
        <f t="shared" si="3"/>
        <v>11324.125</v>
      </c>
      <c r="BD14" s="531">
        <f t="shared" si="3"/>
        <v>11324.125</v>
      </c>
      <c r="BE14" s="531">
        <f t="shared" si="3"/>
        <v>11324.125</v>
      </c>
      <c r="BF14" s="532">
        <f>52197+38396</f>
        <v>90593</v>
      </c>
      <c r="BG14" s="530">
        <f t="shared" si="6"/>
        <v>7753.333333333333</v>
      </c>
      <c r="BH14" s="531">
        <f t="shared" si="7"/>
        <v>7753.333333333333</v>
      </c>
      <c r="BI14" s="531">
        <f t="shared" si="7"/>
        <v>7753.333333333333</v>
      </c>
      <c r="BJ14" s="531">
        <f t="shared" si="7"/>
        <v>7753.333333333333</v>
      </c>
      <c r="BK14" s="531">
        <f t="shared" si="7"/>
        <v>7753.333333333333</v>
      </c>
      <c r="BL14" s="531">
        <f t="shared" si="7"/>
        <v>7753.333333333333</v>
      </c>
      <c r="BM14" s="531">
        <f t="shared" si="7"/>
        <v>7753.333333333333</v>
      </c>
      <c r="BN14" s="531">
        <f t="shared" si="7"/>
        <v>7753.333333333333</v>
      </c>
      <c r="BO14" s="531">
        <f t="shared" si="7"/>
        <v>7753.333333333333</v>
      </c>
      <c r="BP14" s="531">
        <f t="shared" si="7"/>
        <v>7753.333333333333</v>
      </c>
      <c r="BQ14" s="531">
        <f t="shared" si="7"/>
        <v>7753.333333333333</v>
      </c>
      <c r="BR14" s="531">
        <f t="shared" si="7"/>
        <v>7753.333333333333</v>
      </c>
      <c r="BS14" s="532">
        <v>93040</v>
      </c>
    </row>
    <row r="15" spans="1:71" s="536" customFormat="1">
      <c r="A15" s="533"/>
      <c r="B15" s="521" t="s">
        <v>330</v>
      </c>
      <c r="C15" s="534" t="s">
        <v>246</v>
      </c>
      <c r="D15" s="530"/>
      <c r="E15" s="535"/>
      <c r="F15" s="531"/>
      <c r="G15" s="531"/>
      <c r="H15" s="531"/>
      <c r="I15" s="531"/>
      <c r="J15" s="531"/>
      <c r="K15" s="531"/>
      <c r="L15" s="531"/>
      <c r="M15" s="531"/>
      <c r="N15" s="531"/>
      <c r="O15" s="531"/>
      <c r="P15" s="531">
        <f t="shared" si="0"/>
        <v>0</v>
      </c>
      <c r="Q15" s="532">
        <v>0</v>
      </c>
      <c r="R15" s="530">
        <v>1</v>
      </c>
      <c r="S15" s="535">
        <v>13</v>
      </c>
      <c r="T15" s="531">
        <v>5</v>
      </c>
      <c r="U15" s="531">
        <v>60</v>
      </c>
      <c r="V15" s="531">
        <v>85</v>
      </c>
      <c r="W15" s="531">
        <v>19</v>
      </c>
      <c r="X15" s="531">
        <v>40</v>
      </c>
      <c r="Y15" s="531">
        <v>60</v>
      </c>
      <c r="Z15" s="531">
        <v>35</v>
      </c>
      <c r="AA15" s="531">
        <v>62</v>
      </c>
      <c r="AB15" s="531">
        <v>61</v>
      </c>
      <c r="AC15" s="531">
        <v>0</v>
      </c>
      <c r="AD15" s="531">
        <f t="shared" si="1"/>
        <v>122919</v>
      </c>
      <c r="AE15" s="532">
        <v>123360</v>
      </c>
      <c r="AF15" s="530">
        <v>0</v>
      </c>
      <c r="AG15" s="535">
        <v>0</v>
      </c>
      <c r="AH15" s="531">
        <v>0</v>
      </c>
      <c r="AI15" s="531">
        <v>0</v>
      </c>
      <c r="AJ15" s="531">
        <v>0</v>
      </c>
      <c r="AK15" s="531">
        <v>0</v>
      </c>
      <c r="AL15" s="531">
        <v>0</v>
      </c>
      <c r="AM15" s="531">
        <v>0</v>
      </c>
      <c r="AN15" s="531">
        <v>0</v>
      </c>
      <c r="AO15" s="531">
        <v>0</v>
      </c>
      <c r="AP15" s="531">
        <v>0</v>
      </c>
      <c r="AQ15" s="531"/>
      <c r="AR15" s="531">
        <f t="shared" si="2"/>
        <v>429753</v>
      </c>
      <c r="AS15" s="532">
        <v>429753</v>
      </c>
      <c r="AT15" s="530">
        <v>0</v>
      </c>
      <c r="AU15" s="535">
        <f t="shared" si="17"/>
        <v>0</v>
      </c>
      <c r="AV15" s="531">
        <f t="shared" si="18"/>
        <v>0</v>
      </c>
      <c r="AW15" s="531">
        <f t="shared" si="29"/>
        <v>0</v>
      </c>
      <c r="AX15" s="531">
        <f t="shared" si="5"/>
        <v>0</v>
      </c>
      <c r="AY15" s="531">
        <f t="shared" si="3"/>
        <v>0</v>
      </c>
      <c r="AZ15" s="531">
        <f t="shared" si="3"/>
        <v>0</v>
      </c>
      <c r="BA15" s="531">
        <f t="shared" si="3"/>
        <v>0</v>
      </c>
      <c r="BB15" s="531">
        <f t="shared" si="3"/>
        <v>0</v>
      </c>
      <c r="BC15" s="531">
        <f t="shared" si="3"/>
        <v>0</v>
      </c>
      <c r="BD15" s="531">
        <f t="shared" si="3"/>
        <v>0</v>
      </c>
      <c r="BE15" s="531">
        <f t="shared" si="3"/>
        <v>0</v>
      </c>
      <c r="BF15" s="532">
        <v>0</v>
      </c>
      <c r="BG15" s="530">
        <f t="shared" si="6"/>
        <v>715</v>
      </c>
      <c r="BH15" s="535">
        <f t="shared" si="7"/>
        <v>715</v>
      </c>
      <c r="BI15" s="531">
        <f t="shared" si="7"/>
        <v>715</v>
      </c>
      <c r="BJ15" s="531">
        <f t="shared" si="7"/>
        <v>715</v>
      </c>
      <c r="BK15" s="531">
        <f t="shared" si="7"/>
        <v>715</v>
      </c>
      <c r="BL15" s="531">
        <f t="shared" si="7"/>
        <v>715</v>
      </c>
      <c r="BM15" s="531">
        <f t="shared" si="7"/>
        <v>715</v>
      </c>
      <c r="BN15" s="531">
        <f t="shared" si="7"/>
        <v>715</v>
      </c>
      <c r="BO15" s="531">
        <f t="shared" si="7"/>
        <v>715</v>
      </c>
      <c r="BP15" s="531">
        <f t="shared" si="7"/>
        <v>715</v>
      </c>
      <c r="BQ15" s="531">
        <f t="shared" si="7"/>
        <v>715</v>
      </c>
      <c r="BR15" s="531">
        <f t="shared" si="7"/>
        <v>715</v>
      </c>
      <c r="BS15" s="532">
        <v>8580</v>
      </c>
    </row>
    <row r="16" spans="1:71" s="536" customFormat="1" ht="16.5" customHeight="1">
      <c r="A16" s="533"/>
      <c r="B16" s="521" t="s">
        <v>331</v>
      </c>
      <c r="C16" s="534" t="s">
        <v>332</v>
      </c>
      <c r="D16" s="530"/>
      <c r="E16" s="535"/>
      <c r="F16" s="531"/>
      <c r="G16" s="531"/>
      <c r="H16" s="531"/>
      <c r="I16" s="531"/>
      <c r="J16" s="531"/>
      <c r="K16" s="531"/>
      <c r="L16" s="531"/>
      <c r="M16" s="531"/>
      <c r="N16" s="531"/>
      <c r="O16" s="531"/>
      <c r="P16" s="531">
        <f t="shared" si="0"/>
        <v>0</v>
      </c>
      <c r="Q16" s="532">
        <v>0</v>
      </c>
      <c r="R16" s="530">
        <v>0</v>
      </c>
      <c r="S16" s="535">
        <v>0</v>
      </c>
      <c r="T16" s="531">
        <v>0</v>
      </c>
      <c r="U16" s="531">
        <v>0</v>
      </c>
      <c r="V16" s="531">
        <v>0</v>
      </c>
      <c r="W16" s="531">
        <v>0</v>
      </c>
      <c r="X16" s="531">
        <v>0</v>
      </c>
      <c r="Y16" s="531">
        <v>0</v>
      </c>
      <c r="Z16" s="531">
        <v>0</v>
      </c>
      <c r="AA16" s="531">
        <v>0</v>
      </c>
      <c r="AB16" s="531">
        <v>0</v>
      </c>
      <c r="AC16" s="531">
        <v>0</v>
      </c>
      <c r="AD16" s="531">
        <f t="shared" si="1"/>
        <v>69197</v>
      </c>
      <c r="AE16" s="532">
        <v>69197</v>
      </c>
      <c r="AF16" s="530">
        <v>0</v>
      </c>
      <c r="AG16" s="535">
        <v>0</v>
      </c>
      <c r="AH16" s="531">
        <v>0</v>
      </c>
      <c r="AI16" s="531">
        <v>0</v>
      </c>
      <c r="AJ16" s="531">
        <v>0</v>
      </c>
      <c r="AK16" s="531">
        <v>0</v>
      </c>
      <c r="AL16" s="531">
        <v>0</v>
      </c>
      <c r="AM16" s="531">
        <v>0</v>
      </c>
      <c r="AN16" s="531">
        <v>0</v>
      </c>
      <c r="AO16" s="531">
        <v>0</v>
      </c>
      <c r="AP16" s="531">
        <v>0</v>
      </c>
      <c r="AQ16" s="531"/>
      <c r="AR16" s="531">
        <f t="shared" si="2"/>
        <v>69197</v>
      </c>
      <c r="AS16" s="532">
        <v>69197</v>
      </c>
      <c r="AT16" s="530">
        <v>0</v>
      </c>
      <c r="AU16" s="535">
        <f t="shared" si="17"/>
        <v>0</v>
      </c>
      <c r="AV16" s="531">
        <f t="shared" si="18"/>
        <v>0</v>
      </c>
      <c r="AW16" s="531">
        <f t="shared" si="29"/>
        <v>0</v>
      </c>
      <c r="AX16" s="531">
        <f t="shared" si="5"/>
        <v>0</v>
      </c>
      <c r="AY16" s="531">
        <f t="shared" si="3"/>
        <v>0</v>
      </c>
      <c r="AZ16" s="531">
        <f t="shared" si="3"/>
        <v>0</v>
      </c>
      <c r="BA16" s="531">
        <f t="shared" si="3"/>
        <v>0</v>
      </c>
      <c r="BB16" s="531">
        <f t="shared" si="3"/>
        <v>0</v>
      </c>
      <c r="BC16" s="531">
        <f t="shared" si="3"/>
        <v>0</v>
      </c>
      <c r="BD16" s="531">
        <f t="shared" si="3"/>
        <v>0</v>
      </c>
      <c r="BE16" s="531">
        <f t="shared" si="3"/>
        <v>0</v>
      </c>
      <c r="BF16" s="532">
        <v>0</v>
      </c>
      <c r="BG16" s="530">
        <f t="shared" si="6"/>
        <v>0</v>
      </c>
      <c r="BH16" s="535">
        <f t="shared" si="7"/>
        <v>0</v>
      </c>
      <c r="BI16" s="531">
        <f t="shared" si="7"/>
        <v>0</v>
      </c>
      <c r="BJ16" s="531">
        <f t="shared" si="7"/>
        <v>0</v>
      </c>
      <c r="BK16" s="531">
        <f t="shared" si="7"/>
        <v>0</v>
      </c>
      <c r="BL16" s="531">
        <f t="shared" si="7"/>
        <v>0</v>
      </c>
      <c r="BM16" s="531">
        <f t="shared" si="7"/>
        <v>0</v>
      </c>
      <c r="BN16" s="531">
        <f t="shared" si="7"/>
        <v>0</v>
      </c>
      <c r="BO16" s="531">
        <f t="shared" si="7"/>
        <v>0</v>
      </c>
      <c r="BP16" s="531">
        <f t="shared" si="7"/>
        <v>0</v>
      </c>
      <c r="BQ16" s="531">
        <f t="shared" si="7"/>
        <v>0</v>
      </c>
      <c r="BR16" s="531">
        <f t="shared" si="7"/>
        <v>0</v>
      </c>
      <c r="BS16" s="532">
        <v>0</v>
      </c>
    </row>
    <row r="17" spans="1:71" s="536" customFormat="1">
      <c r="A17" s="533"/>
      <c r="B17" s="521" t="s">
        <v>333</v>
      </c>
      <c r="C17" s="534" t="s">
        <v>247</v>
      </c>
      <c r="D17" s="530">
        <v>73688.439999999988</v>
      </c>
      <c r="E17" s="535">
        <v>36081.650000000023</v>
      </c>
      <c r="F17" s="531">
        <v>110219.93000000002</v>
      </c>
      <c r="G17" s="531">
        <v>64467.20999999997</v>
      </c>
      <c r="H17" s="531">
        <v>76017.710000000006</v>
      </c>
      <c r="I17" s="531">
        <v>67672.149999999965</v>
      </c>
      <c r="J17" s="531">
        <v>92913.579999999958</v>
      </c>
      <c r="K17" s="531">
        <v>175040.93999999927</v>
      </c>
      <c r="L17" s="531">
        <v>821303.91000000061</v>
      </c>
      <c r="M17" s="531">
        <v>86336.680000000008</v>
      </c>
      <c r="N17" s="531">
        <v>349097.9800000001</v>
      </c>
      <c r="O17" s="531">
        <v>395077.52999999968</v>
      </c>
      <c r="P17" s="531">
        <f t="shared" si="0"/>
        <v>372911.2900000005</v>
      </c>
      <c r="Q17" s="532">
        <v>2720829</v>
      </c>
      <c r="R17" s="530">
        <v>264760</v>
      </c>
      <c r="S17" s="535">
        <f>81661-209</f>
        <v>81452</v>
      </c>
      <c r="T17" s="531">
        <v>-71787</v>
      </c>
      <c r="U17" s="531">
        <f>6314+15255</f>
        <v>21569</v>
      </c>
      <c r="V17" s="531">
        <f>9589+21685</f>
        <v>31274</v>
      </c>
      <c r="W17" s="531">
        <v>748166</v>
      </c>
      <c r="X17" s="531">
        <f>243432-29672</f>
        <v>213760</v>
      </c>
      <c r="Y17" s="531">
        <f>253450-65959</f>
        <v>187491</v>
      </c>
      <c r="Z17" s="531">
        <f>61335.3082299999+728</f>
        <v>62063.308229999901</v>
      </c>
      <c r="AA17" s="531">
        <f>547899-115515</f>
        <v>432384</v>
      </c>
      <c r="AB17" s="531">
        <f>216936-70612</f>
        <v>146324</v>
      </c>
      <c r="AC17" s="531">
        <f>4034+134154</f>
        <v>138188</v>
      </c>
      <c r="AD17" s="531">
        <f t="shared" si="1"/>
        <v>-170316.30822999962</v>
      </c>
      <c r="AE17" s="532">
        <v>2085328</v>
      </c>
      <c r="AF17" s="530">
        <v>190402</v>
      </c>
      <c r="AG17" s="535">
        <f>33183+14872</f>
        <v>48055</v>
      </c>
      <c r="AH17" s="531">
        <f>28559+140803-2395</f>
        <v>166967</v>
      </c>
      <c r="AI17" s="531">
        <f>8144.438384+21515</f>
        <v>29659.438384000001</v>
      </c>
      <c r="AJ17" s="531">
        <f>5553+24894</f>
        <v>30447</v>
      </c>
      <c r="AK17" s="531">
        <f>6722+7801</f>
        <v>14523</v>
      </c>
      <c r="AL17" s="531">
        <f>28829+165120</f>
        <v>193949</v>
      </c>
      <c r="AM17" s="531">
        <f>8511+54487</f>
        <v>62998</v>
      </c>
      <c r="AN17" s="531">
        <f>1409311-164581</f>
        <v>1244730</v>
      </c>
      <c r="AO17" s="531">
        <v>203649</v>
      </c>
      <c r="AP17" s="531">
        <f>8591+53226</f>
        <v>61817</v>
      </c>
      <c r="AQ17" s="531">
        <f>-35526.694463+77332</f>
        <v>41805.305537</v>
      </c>
      <c r="AR17" s="531">
        <f t="shared" si="2"/>
        <v>411243.25607899996</v>
      </c>
      <c r="AS17" s="532">
        <f>2564183+136062</f>
        <v>2700245</v>
      </c>
      <c r="AT17" s="530">
        <f>72695-18143</f>
        <v>54552</v>
      </c>
      <c r="AU17" s="535">
        <f>26740+168461</f>
        <v>195201</v>
      </c>
      <c r="AV17" s="531">
        <v>8702</v>
      </c>
      <c r="AW17" s="531">
        <f>5459+47948</f>
        <v>53407</v>
      </c>
      <c r="AX17" s="531">
        <f t="shared" si="5"/>
        <v>427944.5</v>
      </c>
      <c r="AY17" s="531">
        <f t="shared" si="3"/>
        <v>427944.5</v>
      </c>
      <c r="AZ17" s="531">
        <f t="shared" si="3"/>
        <v>427944.5</v>
      </c>
      <c r="BA17" s="531">
        <f t="shared" si="3"/>
        <v>427944.5</v>
      </c>
      <c r="BB17" s="531">
        <f t="shared" si="3"/>
        <v>427944.5</v>
      </c>
      <c r="BC17" s="531">
        <f t="shared" si="3"/>
        <v>427944.5</v>
      </c>
      <c r="BD17" s="531">
        <f t="shared" si="3"/>
        <v>427944.5</v>
      </c>
      <c r="BE17" s="531">
        <f t="shared" si="3"/>
        <v>427944.5</v>
      </c>
      <c r="BF17" s="532">
        <f>111168+3624250</f>
        <v>3735418</v>
      </c>
      <c r="BG17" s="530">
        <f t="shared" si="6"/>
        <v>381523.58333333331</v>
      </c>
      <c r="BH17" s="535">
        <f t="shared" si="7"/>
        <v>381523.58333333331</v>
      </c>
      <c r="BI17" s="531">
        <f t="shared" si="7"/>
        <v>381523.58333333331</v>
      </c>
      <c r="BJ17" s="531">
        <f t="shared" si="7"/>
        <v>381523.58333333331</v>
      </c>
      <c r="BK17" s="531">
        <f t="shared" si="7"/>
        <v>381523.58333333331</v>
      </c>
      <c r="BL17" s="531">
        <f t="shared" si="7"/>
        <v>381523.58333333331</v>
      </c>
      <c r="BM17" s="531">
        <f t="shared" si="7"/>
        <v>381523.58333333331</v>
      </c>
      <c r="BN17" s="531">
        <f t="shared" si="7"/>
        <v>381523.58333333331</v>
      </c>
      <c r="BO17" s="531">
        <f t="shared" si="7"/>
        <v>381523.58333333331</v>
      </c>
      <c r="BP17" s="531">
        <f t="shared" si="7"/>
        <v>381523.58333333331</v>
      </c>
      <c r="BQ17" s="531">
        <f t="shared" si="7"/>
        <v>381523.58333333331</v>
      </c>
      <c r="BR17" s="531">
        <f t="shared" si="7"/>
        <v>381523.58333333331</v>
      </c>
      <c r="BS17" s="532">
        <v>4578283</v>
      </c>
    </row>
    <row r="18" spans="1:71">
      <c r="A18" s="527"/>
      <c r="B18" s="528" t="s">
        <v>334</v>
      </c>
      <c r="C18" s="529" t="s">
        <v>248</v>
      </c>
      <c r="D18" s="530"/>
      <c r="E18" s="531"/>
      <c r="F18" s="531"/>
      <c r="G18" s="531"/>
      <c r="H18" s="531"/>
      <c r="I18" s="531"/>
      <c r="J18" s="531"/>
      <c r="K18" s="531"/>
      <c r="L18" s="531"/>
      <c r="M18" s="531"/>
      <c r="N18" s="531"/>
      <c r="O18" s="531"/>
      <c r="P18" s="531">
        <f t="shared" si="0"/>
        <v>0</v>
      </c>
      <c r="Q18" s="532">
        <v>0</v>
      </c>
      <c r="R18" s="530">
        <v>0</v>
      </c>
      <c r="S18" s="531">
        <v>0</v>
      </c>
      <c r="T18" s="531">
        <f t="shared" si="8"/>
        <v>0</v>
      </c>
      <c r="U18" s="531">
        <v>0</v>
      </c>
      <c r="V18" s="531">
        <f t="shared" si="19"/>
        <v>0</v>
      </c>
      <c r="W18" s="531">
        <f t="shared" si="9"/>
        <v>0</v>
      </c>
      <c r="X18" s="531">
        <f t="shared" si="10"/>
        <v>0</v>
      </c>
      <c r="Y18" s="531">
        <f t="shared" si="11"/>
        <v>0</v>
      </c>
      <c r="Z18" s="531">
        <f t="shared" ref="Z18:Z20" si="30">(AE18-R18-S18-T18-U18-V18-W18-X18-Y18)/4</f>
        <v>0</v>
      </c>
      <c r="AA18" s="531">
        <f t="shared" si="12"/>
        <v>0</v>
      </c>
      <c r="AB18" s="531">
        <v>1</v>
      </c>
      <c r="AC18" s="531">
        <v>0</v>
      </c>
      <c r="AD18" s="531">
        <v>1</v>
      </c>
      <c r="AE18" s="532">
        <v>0</v>
      </c>
      <c r="AF18" s="530">
        <f t="shared" si="15"/>
        <v>0</v>
      </c>
      <c r="AG18" s="531">
        <f t="shared" si="20"/>
        <v>0</v>
      </c>
      <c r="AH18" s="531">
        <f t="shared" si="21"/>
        <v>0</v>
      </c>
      <c r="AI18" s="531">
        <f t="shared" si="22"/>
        <v>0</v>
      </c>
      <c r="AJ18" s="531">
        <f t="shared" si="23"/>
        <v>0</v>
      </c>
      <c r="AK18" s="531">
        <f t="shared" ref="AK18:AK20" si="31">(AS18-AF18-AG18-AH18-AI18-AJ18)/7</f>
        <v>0</v>
      </c>
      <c r="AL18" s="531">
        <f t="shared" si="24"/>
        <v>0</v>
      </c>
      <c r="AM18" s="531">
        <f t="shared" si="25"/>
        <v>0</v>
      </c>
      <c r="AN18" s="531">
        <f t="shared" si="26"/>
        <v>0</v>
      </c>
      <c r="AO18" s="531">
        <f t="shared" si="27"/>
        <v>0</v>
      </c>
      <c r="AP18" s="531">
        <f t="shared" ref="AP18:AP20" si="32">(AS18-AF18-AG18-AH18-AI18-AJ18-AK18-AL18-AM18-AN18-AO18)/2</f>
        <v>0</v>
      </c>
      <c r="AQ18" s="531"/>
      <c r="AR18" s="531">
        <v>1</v>
      </c>
      <c r="AS18" s="532">
        <v>0</v>
      </c>
      <c r="AT18" s="530">
        <f t="shared" ref="AT18:AT20" si="33">BF18/12</f>
        <v>0</v>
      </c>
      <c r="AU18" s="531">
        <f t="shared" si="17"/>
        <v>0</v>
      </c>
      <c r="AV18" s="531">
        <f t="shared" si="18"/>
        <v>0</v>
      </c>
      <c r="AW18" s="531">
        <f t="shared" si="29"/>
        <v>0</v>
      </c>
      <c r="AX18" s="531">
        <f t="shared" si="5"/>
        <v>0</v>
      </c>
      <c r="AY18" s="531">
        <f t="shared" si="3"/>
        <v>0</v>
      </c>
      <c r="AZ18" s="531">
        <f t="shared" si="3"/>
        <v>0</v>
      </c>
      <c r="BA18" s="531">
        <f t="shared" si="3"/>
        <v>0</v>
      </c>
      <c r="BB18" s="531">
        <f t="shared" si="3"/>
        <v>0</v>
      </c>
      <c r="BC18" s="531">
        <f t="shared" si="3"/>
        <v>0</v>
      </c>
      <c r="BD18" s="531">
        <f t="shared" si="3"/>
        <v>0</v>
      </c>
      <c r="BE18" s="531">
        <f t="shared" si="3"/>
        <v>0</v>
      </c>
      <c r="BF18" s="532">
        <v>0</v>
      </c>
      <c r="BG18" s="530">
        <f t="shared" si="6"/>
        <v>0</v>
      </c>
      <c r="BH18" s="531">
        <f t="shared" si="7"/>
        <v>0</v>
      </c>
      <c r="BI18" s="531">
        <f t="shared" si="7"/>
        <v>0</v>
      </c>
      <c r="BJ18" s="531">
        <f t="shared" si="7"/>
        <v>0</v>
      </c>
      <c r="BK18" s="531">
        <f t="shared" si="7"/>
        <v>0</v>
      </c>
      <c r="BL18" s="531">
        <f t="shared" si="7"/>
        <v>0</v>
      </c>
      <c r="BM18" s="531">
        <f t="shared" si="7"/>
        <v>0</v>
      </c>
      <c r="BN18" s="531">
        <f t="shared" si="7"/>
        <v>0</v>
      </c>
      <c r="BO18" s="531">
        <f t="shared" si="7"/>
        <v>0</v>
      </c>
      <c r="BP18" s="531">
        <f t="shared" si="7"/>
        <v>0</v>
      </c>
      <c r="BQ18" s="531">
        <f t="shared" si="7"/>
        <v>0</v>
      </c>
      <c r="BR18" s="531">
        <f t="shared" si="7"/>
        <v>0</v>
      </c>
      <c r="BS18" s="532">
        <v>0</v>
      </c>
    </row>
    <row r="19" spans="1:71">
      <c r="A19" s="527"/>
      <c r="B19" s="528" t="s">
        <v>335</v>
      </c>
      <c r="C19" s="529" t="s">
        <v>336</v>
      </c>
      <c r="D19" s="530"/>
      <c r="E19" s="531"/>
      <c r="F19" s="531"/>
      <c r="G19" s="531"/>
      <c r="H19" s="531"/>
      <c r="I19" s="531"/>
      <c r="J19" s="531"/>
      <c r="K19" s="531"/>
      <c r="L19" s="531"/>
      <c r="M19" s="531"/>
      <c r="N19" s="531"/>
      <c r="O19" s="531"/>
      <c r="P19" s="531">
        <f t="shared" si="0"/>
        <v>0</v>
      </c>
      <c r="Q19" s="532">
        <v>0</v>
      </c>
      <c r="R19" s="530">
        <v>0</v>
      </c>
      <c r="S19" s="531">
        <v>0</v>
      </c>
      <c r="T19" s="531">
        <f t="shared" si="8"/>
        <v>0</v>
      </c>
      <c r="U19" s="531">
        <v>0</v>
      </c>
      <c r="V19" s="531">
        <f t="shared" si="19"/>
        <v>0</v>
      </c>
      <c r="W19" s="531">
        <f t="shared" si="9"/>
        <v>0</v>
      </c>
      <c r="X19" s="531">
        <f t="shared" si="10"/>
        <v>0</v>
      </c>
      <c r="Y19" s="531">
        <f t="shared" si="11"/>
        <v>0</v>
      </c>
      <c r="Z19" s="531">
        <f t="shared" si="30"/>
        <v>0</v>
      </c>
      <c r="AA19" s="531">
        <f t="shared" si="12"/>
        <v>0</v>
      </c>
      <c r="AB19" s="531">
        <f t="shared" si="13"/>
        <v>0</v>
      </c>
      <c r="AC19" s="531">
        <f t="shared" si="14"/>
        <v>0</v>
      </c>
      <c r="AD19" s="531">
        <f t="shared" si="1"/>
        <v>0</v>
      </c>
      <c r="AE19" s="532">
        <v>0</v>
      </c>
      <c r="AF19" s="530">
        <f t="shared" si="15"/>
        <v>0</v>
      </c>
      <c r="AG19" s="531">
        <f t="shared" si="20"/>
        <v>0</v>
      </c>
      <c r="AH19" s="531">
        <f t="shared" si="21"/>
        <v>0</v>
      </c>
      <c r="AI19" s="531">
        <f t="shared" si="22"/>
        <v>0</v>
      </c>
      <c r="AJ19" s="531">
        <f t="shared" si="23"/>
        <v>0</v>
      </c>
      <c r="AK19" s="531">
        <f t="shared" si="31"/>
        <v>0</v>
      </c>
      <c r="AL19" s="531">
        <f t="shared" si="24"/>
        <v>0</v>
      </c>
      <c r="AM19" s="531">
        <f t="shared" si="25"/>
        <v>0</v>
      </c>
      <c r="AN19" s="531">
        <f t="shared" si="26"/>
        <v>0</v>
      </c>
      <c r="AO19" s="531">
        <f t="shared" si="27"/>
        <v>0</v>
      </c>
      <c r="AP19" s="531">
        <f t="shared" si="32"/>
        <v>0</v>
      </c>
      <c r="AQ19" s="531"/>
      <c r="AR19" s="531">
        <f t="shared" si="2"/>
        <v>0</v>
      </c>
      <c r="AS19" s="532">
        <v>0</v>
      </c>
      <c r="AT19" s="530">
        <f t="shared" si="33"/>
        <v>0</v>
      </c>
      <c r="AU19" s="531">
        <f t="shared" si="17"/>
        <v>0</v>
      </c>
      <c r="AV19" s="531">
        <f t="shared" si="18"/>
        <v>0</v>
      </c>
      <c r="AW19" s="531">
        <f t="shared" si="29"/>
        <v>0</v>
      </c>
      <c r="AX19" s="531">
        <f t="shared" si="5"/>
        <v>0</v>
      </c>
      <c r="AY19" s="531">
        <f t="shared" si="3"/>
        <v>0</v>
      </c>
      <c r="AZ19" s="531">
        <f t="shared" si="3"/>
        <v>0</v>
      </c>
      <c r="BA19" s="531">
        <f t="shared" si="3"/>
        <v>0</v>
      </c>
      <c r="BB19" s="531">
        <f t="shared" si="3"/>
        <v>0</v>
      </c>
      <c r="BC19" s="531">
        <f t="shared" si="3"/>
        <v>0</v>
      </c>
      <c r="BD19" s="531">
        <f t="shared" si="3"/>
        <v>0</v>
      </c>
      <c r="BE19" s="531">
        <f t="shared" si="3"/>
        <v>0</v>
      </c>
      <c r="BF19" s="532">
        <v>0</v>
      </c>
      <c r="BG19" s="530">
        <f t="shared" si="6"/>
        <v>0</v>
      </c>
      <c r="BH19" s="531">
        <f t="shared" si="7"/>
        <v>0</v>
      </c>
      <c r="BI19" s="531">
        <f t="shared" si="7"/>
        <v>0</v>
      </c>
      <c r="BJ19" s="531">
        <f t="shared" si="7"/>
        <v>0</v>
      </c>
      <c r="BK19" s="531">
        <f t="shared" si="7"/>
        <v>0</v>
      </c>
      <c r="BL19" s="531">
        <f t="shared" si="7"/>
        <v>0</v>
      </c>
      <c r="BM19" s="531">
        <f t="shared" si="7"/>
        <v>0</v>
      </c>
      <c r="BN19" s="531">
        <f t="shared" si="7"/>
        <v>0</v>
      </c>
      <c r="BO19" s="531">
        <f t="shared" si="7"/>
        <v>0</v>
      </c>
      <c r="BP19" s="531">
        <f t="shared" si="7"/>
        <v>0</v>
      </c>
      <c r="BQ19" s="531">
        <f t="shared" si="7"/>
        <v>0</v>
      </c>
      <c r="BR19" s="531">
        <f t="shared" si="7"/>
        <v>0</v>
      </c>
      <c r="BS19" s="532">
        <v>0</v>
      </c>
    </row>
    <row r="20" spans="1:71">
      <c r="A20" s="527"/>
      <c r="B20" s="528" t="s">
        <v>337</v>
      </c>
      <c r="C20" s="529" t="s">
        <v>250</v>
      </c>
      <c r="D20" s="530">
        <v>0</v>
      </c>
      <c r="E20" s="531">
        <v>0</v>
      </c>
      <c r="F20" s="531">
        <v>0</v>
      </c>
      <c r="G20" s="531">
        <v>0</v>
      </c>
      <c r="H20" s="531">
        <v>0</v>
      </c>
      <c r="I20" s="531">
        <v>0</v>
      </c>
      <c r="J20" s="531">
        <v>0</v>
      </c>
      <c r="K20" s="531">
        <v>0</v>
      </c>
      <c r="L20" s="531">
        <v>0</v>
      </c>
      <c r="M20" s="531">
        <v>0</v>
      </c>
      <c r="N20" s="531">
        <v>0</v>
      </c>
      <c r="O20" s="531">
        <v>0</v>
      </c>
      <c r="P20" s="531">
        <f t="shared" si="0"/>
        <v>0</v>
      </c>
      <c r="Q20" s="532">
        <v>0</v>
      </c>
      <c r="R20" s="530">
        <v>0</v>
      </c>
      <c r="S20" s="531">
        <v>0</v>
      </c>
      <c r="T20" s="531">
        <f t="shared" si="8"/>
        <v>0</v>
      </c>
      <c r="U20" s="531">
        <v>0</v>
      </c>
      <c r="V20" s="531">
        <f t="shared" si="19"/>
        <v>0</v>
      </c>
      <c r="W20" s="531">
        <f t="shared" si="9"/>
        <v>0</v>
      </c>
      <c r="X20" s="531">
        <f t="shared" si="10"/>
        <v>0</v>
      </c>
      <c r="Y20" s="531">
        <f t="shared" si="11"/>
        <v>0</v>
      </c>
      <c r="Z20" s="531">
        <f t="shared" si="30"/>
        <v>0</v>
      </c>
      <c r="AA20" s="531">
        <f t="shared" si="12"/>
        <v>0</v>
      </c>
      <c r="AB20" s="531">
        <f t="shared" si="13"/>
        <v>0</v>
      </c>
      <c r="AC20" s="531">
        <f t="shared" si="14"/>
        <v>0</v>
      </c>
      <c r="AD20" s="531">
        <f t="shared" si="1"/>
        <v>0</v>
      </c>
      <c r="AE20" s="532">
        <v>0</v>
      </c>
      <c r="AF20" s="530">
        <f t="shared" si="15"/>
        <v>0</v>
      </c>
      <c r="AG20" s="531">
        <f t="shared" si="20"/>
        <v>0</v>
      </c>
      <c r="AH20" s="531">
        <f t="shared" si="21"/>
        <v>0</v>
      </c>
      <c r="AI20" s="531">
        <f t="shared" si="22"/>
        <v>0</v>
      </c>
      <c r="AJ20" s="531">
        <f t="shared" si="23"/>
        <v>0</v>
      </c>
      <c r="AK20" s="531">
        <f t="shared" si="31"/>
        <v>0</v>
      </c>
      <c r="AL20" s="531">
        <f t="shared" si="24"/>
        <v>0</v>
      </c>
      <c r="AM20" s="531">
        <f t="shared" si="25"/>
        <v>0</v>
      </c>
      <c r="AN20" s="531">
        <f t="shared" si="26"/>
        <v>0</v>
      </c>
      <c r="AO20" s="531">
        <f t="shared" si="27"/>
        <v>0</v>
      </c>
      <c r="AP20" s="531">
        <f t="shared" si="32"/>
        <v>0</v>
      </c>
      <c r="AQ20" s="531">
        <f t="shared" si="28"/>
        <v>0</v>
      </c>
      <c r="AR20" s="531">
        <f t="shared" si="2"/>
        <v>0</v>
      </c>
      <c r="AS20" s="532">
        <v>0</v>
      </c>
      <c r="AT20" s="530">
        <f t="shared" si="33"/>
        <v>0</v>
      </c>
      <c r="AU20" s="531">
        <f t="shared" si="17"/>
        <v>0</v>
      </c>
      <c r="AV20" s="531">
        <f t="shared" si="18"/>
        <v>0</v>
      </c>
      <c r="AW20" s="531">
        <f t="shared" si="29"/>
        <v>0</v>
      </c>
      <c r="AX20" s="531">
        <f t="shared" si="5"/>
        <v>0</v>
      </c>
      <c r="AY20" s="531">
        <f t="shared" si="3"/>
        <v>0</v>
      </c>
      <c r="AZ20" s="531">
        <f t="shared" si="3"/>
        <v>0</v>
      </c>
      <c r="BA20" s="531">
        <f t="shared" si="3"/>
        <v>0</v>
      </c>
      <c r="BB20" s="531">
        <f t="shared" si="3"/>
        <v>0</v>
      </c>
      <c r="BC20" s="531">
        <f t="shared" si="3"/>
        <v>0</v>
      </c>
      <c r="BD20" s="531">
        <f t="shared" si="3"/>
        <v>0</v>
      </c>
      <c r="BE20" s="531">
        <f t="shared" si="3"/>
        <v>0</v>
      </c>
      <c r="BF20" s="532">
        <v>0</v>
      </c>
      <c r="BG20" s="530">
        <f t="shared" si="6"/>
        <v>0</v>
      </c>
      <c r="BH20" s="531">
        <f t="shared" si="7"/>
        <v>0</v>
      </c>
      <c r="BI20" s="531">
        <f t="shared" si="7"/>
        <v>0</v>
      </c>
      <c r="BJ20" s="531">
        <f t="shared" si="7"/>
        <v>0</v>
      </c>
      <c r="BK20" s="531">
        <f t="shared" si="7"/>
        <v>0</v>
      </c>
      <c r="BL20" s="531">
        <f t="shared" si="7"/>
        <v>0</v>
      </c>
      <c r="BM20" s="531">
        <f t="shared" si="7"/>
        <v>0</v>
      </c>
      <c r="BN20" s="531">
        <f t="shared" si="7"/>
        <v>0</v>
      </c>
      <c r="BO20" s="531">
        <f t="shared" si="7"/>
        <v>0</v>
      </c>
      <c r="BP20" s="531">
        <f t="shared" si="7"/>
        <v>0</v>
      </c>
      <c r="BQ20" s="531">
        <f t="shared" si="7"/>
        <v>0</v>
      </c>
      <c r="BR20" s="531">
        <f t="shared" si="7"/>
        <v>0</v>
      </c>
      <c r="BS20" s="532">
        <v>0</v>
      </c>
    </row>
    <row r="21" spans="1:71" s="512" customFormat="1" ht="16.8" thickBot="1">
      <c r="A21" s="537"/>
      <c r="B21" s="538" t="s">
        <v>152</v>
      </c>
      <c r="C21" s="539"/>
      <c r="D21" s="540">
        <f>SUM(D8:D20)</f>
        <v>1610001.53</v>
      </c>
      <c r="E21" s="541">
        <f t="shared" ref="E21:AP21" si="34">SUM(E8:E20)</f>
        <v>1558267.56</v>
      </c>
      <c r="F21" s="541">
        <f t="shared" si="34"/>
        <v>1656962.0499999998</v>
      </c>
      <c r="G21" s="541">
        <f t="shared" si="34"/>
        <v>1657878.13</v>
      </c>
      <c r="H21" s="541">
        <f t="shared" si="34"/>
        <v>1635592.4800000002</v>
      </c>
      <c r="I21" s="541">
        <f t="shared" si="34"/>
        <v>1619368.7299999995</v>
      </c>
      <c r="J21" s="541">
        <f t="shared" si="34"/>
        <v>1638603.25</v>
      </c>
      <c r="K21" s="541">
        <f t="shared" si="34"/>
        <v>1761462.8699999994</v>
      </c>
      <c r="L21" s="541">
        <f t="shared" si="34"/>
        <v>2349386.5699999994</v>
      </c>
      <c r="M21" s="541">
        <f t="shared" si="34"/>
        <v>1680276.6400000004</v>
      </c>
      <c r="N21" s="541">
        <f t="shared" si="34"/>
        <v>1902480.73</v>
      </c>
      <c r="O21" s="541">
        <f t="shared" si="34"/>
        <v>1919451.5299999998</v>
      </c>
      <c r="P21" s="541">
        <f t="shared" si="34"/>
        <v>453963.93000000017</v>
      </c>
      <c r="Q21" s="541">
        <f t="shared" si="34"/>
        <v>21443696</v>
      </c>
      <c r="R21" s="540">
        <f t="shared" si="34"/>
        <v>1944793</v>
      </c>
      <c r="S21" s="541">
        <f t="shared" si="34"/>
        <v>1806099</v>
      </c>
      <c r="T21" s="541">
        <f t="shared" si="34"/>
        <v>1720545.1</v>
      </c>
      <c r="U21" s="541">
        <f t="shared" si="34"/>
        <v>1860278</v>
      </c>
      <c r="V21" s="541">
        <f t="shared" si="34"/>
        <v>1903576</v>
      </c>
      <c r="W21" s="541">
        <f t="shared" si="34"/>
        <v>2580648.1285714284</v>
      </c>
      <c r="X21" s="541">
        <f t="shared" si="34"/>
        <v>2071696.1285714286</v>
      </c>
      <c r="Y21" s="541">
        <f t="shared" si="34"/>
        <v>2091258.1285714286</v>
      </c>
      <c r="Z21" s="541">
        <f t="shared" si="34"/>
        <v>1902324.4064931446</v>
      </c>
      <c r="AA21" s="541">
        <f t="shared" si="34"/>
        <v>2264304.203809524</v>
      </c>
      <c r="AB21" s="541">
        <f t="shared" si="34"/>
        <v>2001713.2038095237</v>
      </c>
      <c r="AC21" s="541">
        <f t="shared" si="34"/>
        <v>1934794.2038095237</v>
      </c>
      <c r="AD21" s="541">
        <f t="shared" si="34"/>
        <v>259963.49636399897</v>
      </c>
      <c r="AE21" s="541">
        <f t="shared" si="34"/>
        <v>24341991</v>
      </c>
      <c r="AF21" s="540">
        <f t="shared" si="34"/>
        <v>1907070</v>
      </c>
      <c r="AG21" s="541">
        <f t="shared" si="34"/>
        <v>1931253</v>
      </c>
      <c r="AH21" s="541">
        <f t="shared" si="34"/>
        <v>2015808</v>
      </c>
      <c r="AI21" s="541">
        <f t="shared" si="34"/>
        <v>1892948.3648960001</v>
      </c>
      <c r="AJ21" s="541">
        <f t="shared" si="34"/>
        <v>1832756.1494</v>
      </c>
      <c r="AK21" s="541">
        <f t="shared" si="34"/>
        <v>1906106</v>
      </c>
      <c r="AL21" s="541">
        <f t="shared" si="34"/>
        <v>2018125.4503090023</v>
      </c>
      <c r="AM21" s="541">
        <f t="shared" si="34"/>
        <v>1857352</v>
      </c>
      <c r="AN21" s="541">
        <f t="shared" si="34"/>
        <v>3073600</v>
      </c>
      <c r="AO21" s="541">
        <f t="shared" si="34"/>
        <v>1974446.089924</v>
      </c>
      <c r="AP21" s="541">
        <f t="shared" si="34"/>
        <v>1853239</v>
      </c>
      <c r="AQ21" s="541">
        <f>SUM(AQ8:AQ20)</f>
        <v>1811067.1338189994</v>
      </c>
      <c r="AR21" s="541">
        <f t="shared" si="2"/>
        <v>338443.81165199727</v>
      </c>
      <c r="AS21" s="541">
        <f>SUM(AS8:AS20)</f>
        <v>24412215</v>
      </c>
      <c r="AT21" s="540">
        <f t="shared" ref="AT21" si="35">SUM(AT8:AT20)</f>
        <v>1744905</v>
      </c>
      <c r="AU21" s="541">
        <f>SUM(AU8:AU20)</f>
        <v>2278192</v>
      </c>
      <c r="AV21" s="541">
        <f>SUM(AV8:AV20)</f>
        <v>2425829</v>
      </c>
      <c r="AW21" s="541">
        <f>SUM(AW8:AW20)</f>
        <v>2189070</v>
      </c>
      <c r="AX21" s="541">
        <f>SUM(AX8:AX20)</f>
        <v>2666600.625</v>
      </c>
      <c r="AY21" s="541">
        <f t="shared" si="3"/>
        <v>2666600.625</v>
      </c>
      <c r="AZ21" s="541">
        <f t="shared" si="3"/>
        <v>2666600.625</v>
      </c>
      <c r="BA21" s="541">
        <f t="shared" si="3"/>
        <v>2666600.625</v>
      </c>
      <c r="BB21" s="541">
        <f t="shared" si="3"/>
        <v>2666600.625</v>
      </c>
      <c r="BC21" s="541">
        <f t="shared" si="3"/>
        <v>2666600.625</v>
      </c>
      <c r="BD21" s="541">
        <f t="shared" si="3"/>
        <v>2666600.625</v>
      </c>
      <c r="BE21" s="541">
        <f t="shared" si="3"/>
        <v>2666600.625</v>
      </c>
      <c r="BF21" s="541">
        <f>SUM(BF8:BF20)</f>
        <v>29970801</v>
      </c>
      <c r="BG21" s="540">
        <f t="shared" si="6"/>
        <v>2503399.25</v>
      </c>
      <c r="BH21" s="541">
        <f t="shared" si="7"/>
        <v>2503399.25</v>
      </c>
      <c r="BI21" s="541">
        <f t="shared" si="7"/>
        <v>2503399.25</v>
      </c>
      <c r="BJ21" s="541">
        <f t="shared" si="7"/>
        <v>2503399.25</v>
      </c>
      <c r="BK21" s="541">
        <f t="shared" si="7"/>
        <v>2503399.25</v>
      </c>
      <c r="BL21" s="541">
        <f t="shared" si="7"/>
        <v>2503399.25</v>
      </c>
      <c r="BM21" s="541">
        <f t="shared" si="7"/>
        <v>2503399.25</v>
      </c>
      <c r="BN21" s="541">
        <f t="shared" si="7"/>
        <v>2503399.25</v>
      </c>
      <c r="BO21" s="541">
        <f t="shared" si="7"/>
        <v>2503399.25</v>
      </c>
      <c r="BP21" s="541">
        <f t="shared" si="7"/>
        <v>2503399.25</v>
      </c>
      <c r="BQ21" s="541">
        <f t="shared" si="7"/>
        <v>2503399.25</v>
      </c>
      <c r="BR21" s="541">
        <f t="shared" si="7"/>
        <v>2503399.25</v>
      </c>
      <c r="BS21" s="541">
        <f>SUM(BS8:BS20)</f>
        <v>30040791</v>
      </c>
    </row>
    <row r="22" spans="1:71" s="521" customFormat="1">
      <c r="D22" s="542"/>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row>
    <row r="23" spans="1:71" s="521" customFormat="1" ht="16.8" thickBot="1">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c r="BL23" s="543"/>
      <c r="BM23" s="543"/>
      <c r="BN23" s="543"/>
      <c r="BO23" s="543"/>
      <c r="BP23" s="543"/>
      <c r="BQ23" s="543"/>
      <c r="BR23" s="543"/>
      <c r="BS23" s="543"/>
    </row>
    <row r="24" spans="1:71" s="512" customFormat="1" ht="16.8" thickBot="1">
      <c r="D24" s="518" t="s">
        <v>307</v>
      </c>
      <c r="E24" s="544"/>
      <c r="F24" s="544"/>
      <c r="G24" s="544"/>
      <c r="H24" s="544"/>
      <c r="I24" s="544"/>
      <c r="J24" s="519"/>
      <c r="K24" s="544"/>
      <c r="L24" s="544"/>
      <c r="M24" s="544"/>
      <c r="N24" s="544"/>
      <c r="O24" s="544"/>
      <c r="P24" s="544"/>
      <c r="Q24" s="545"/>
      <c r="R24" s="518" t="s">
        <v>385</v>
      </c>
      <c r="S24" s="544"/>
      <c r="T24" s="544"/>
      <c r="U24" s="544"/>
      <c r="V24" s="544"/>
      <c r="W24" s="544"/>
      <c r="X24" s="519"/>
      <c r="Y24" s="544"/>
      <c r="Z24" s="544"/>
      <c r="AA24" s="544"/>
      <c r="AB24" s="544"/>
      <c r="AC24" s="544"/>
      <c r="AD24" s="544"/>
      <c r="AE24" s="545"/>
      <c r="AF24" s="518" t="s">
        <v>390</v>
      </c>
      <c r="AG24" s="544"/>
      <c r="AH24" s="544"/>
      <c r="AI24" s="544"/>
      <c r="AJ24" s="544"/>
      <c r="AK24" s="544"/>
      <c r="AL24" s="519"/>
      <c r="AM24" s="544"/>
      <c r="AN24" s="544"/>
      <c r="AO24" s="544"/>
      <c r="AP24" s="544"/>
      <c r="AQ24" s="544"/>
      <c r="AR24" s="544"/>
      <c r="AS24" s="545"/>
      <c r="AT24" s="518" t="s">
        <v>564</v>
      </c>
      <c r="AU24" s="544"/>
      <c r="AV24" s="544"/>
      <c r="AW24" s="544"/>
      <c r="AX24" s="544"/>
      <c r="AY24" s="544"/>
      <c r="AZ24" s="519"/>
      <c r="BA24" s="544"/>
      <c r="BB24" s="544"/>
      <c r="BC24" s="544"/>
      <c r="BD24" s="544"/>
      <c r="BE24" s="544"/>
      <c r="BF24" s="545"/>
      <c r="BG24" s="518" t="s">
        <v>565</v>
      </c>
      <c r="BH24" s="544"/>
      <c r="BI24" s="544"/>
      <c r="BJ24" s="544"/>
      <c r="BK24" s="544"/>
      <c r="BL24" s="544"/>
      <c r="BM24" s="519"/>
      <c r="BN24" s="544"/>
      <c r="BO24" s="544"/>
      <c r="BP24" s="544"/>
      <c r="BQ24" s="544"/>
      <c r="BR24" s="544"/>
      <c r="BS24" s="545"/>
    </row>
    <row r="25" spans="1:71" s="512" customFormat="1">
      <c r="A25" s="546" t="s">
        <v>338</v>
      </c>
      <c r="B25" s="522" t="s">
        <v>51</v>
      </c>
      <c r="C25" s="523" t="s">
        <v>309</v>
      </c>
      <c r="D25" s="547" t="s">
        <v>310</v>
      </c>
      <c r="E25" s="548" t="s">
        <v>311</v>
      </c>
      <c r="F25" s="548" t="s">
        <v>312</v>
      </c>
      <c r="G25" s="548" t="s">
        <v>313</v>
      </c>
      <c r="H25" s="548" t="s">
        <v>314</v>
      </c>
      <c r="I25" s="548" t="s">
        <v>315</v>
      </c>
      <c r="J25" s="548" t="s">
        <v>316</v>
      </c>
      <c r="K25" s="548" t="s">
        <v>317</v>
      </c>
      <c r="L25" s="548" t="s">
        <v>318</v>
      </c>
      <c r="M25" s="548" t="s">
        <v>319</v>
      </c>
      <c r="N25" s="548" t="s">
        <v>320</v>
      </c>
      <c r="O25" s="548" t="s">
        <v>321</v>
      </c>
      <c r="P25" s="548" t="s">
        <v>373</v>
      </c>
      <c r="Q25" s="526" t="s">
        <v>322</v>
      </c>
      <c r="R25" s="547" t="s">
        <v>310</v>
      </c>
      <c r="S25" s="548" t="s">
        <v>311</v>
      </c>
      <c r="T25" s="548" t="s">
        <v>312</v>
      </c>
      <c r="U25" s="548" t="s">
        <v>313</v>
      </c>
      <c r="V25" s="548" t="s">
        <v>314</v>
      </c>
      <c r="W25" s="548" t="s">
        <v>315</v>
      </c>
      <c r="X25" s="548" t="s">
        <v>316</v>
      </c>
      <c r="Y25" s="548" t="s">
        <v>317</v>
      </c>
      <c r="Z25" s="548" t="s">
        <v>318</v>
      </c>
      <c r="AA25" s="548" t="s">
        <v>319</v>
      </c>
      <c r="AB25" s="548" t="s">
        <v>320</v>
      </c>
      <c r="AC25" s="548" t="s">
        <v>321</v>
      </c>
      <c r="AD25" s="548" t="s">
        <v>457</v>
      </c>
      <c r="AE25" s="526" t="s">
        <v>384</v>
      </c>
      <c r="AF25" s="547" t="s">
        <v>310</v>
      </c>
      <c r="AG25" s="548" t="s">
        <v>311</v>
      </c>
      <c r="AH25" s="548" t="s">
        <v>312</v>
      </c>
      <c r="AI25" s="548" t="s">
        <v>313</v>
      </c>
      <c r="AJ25" s="548" t="s">
        <v>314</v>
      </c>
      <c r="AK25" s="548" t="s">
        <v>315</v>
      </c>
      <c r="AL25" s="548" t="s">
        <v>316</v>
      </c>
      <c r="AM25" s="548" t="s">
        <v>317</v>
      </c>
      <c r="AN25" s="548" t="s">
        <v>318</v>
      </c>
      <c r="AO25" s="548" t="s">
        <v>319</v>
      </c>
      <c r="AP25" s="548" t="s">
        <v>320</v>
      </c>
      <c r="AQ25" s="548" t="s">
        <v>321</v>
      </c>
      <c r="AR25" s="525" t="s">
        <v>494</v>
      </c>
      <c r="AS25" s="526" t="s">
        <v>391</v>
      </c>
      <c r="AT25" s="547" t="s">
        <v>310</v>
      </c>
      <c r="AU25" s="548" t="s">
        <v>311</v>
      </c>
      <c r="AV25" s="548" t="s">
        <v>312</v>
      </c>
      <c r="AW25" s="548" t="s">
        <v>313</v>
      </c>
      <c r="AX25" s="548" t="s">
        <v>314</v>
      </c>
      <c r="AY25" s="548" t="s">
        <v>315</v>
      </c>
      <c r="AZ25" s="548" t="s">
        <v>316</v>
      </c>
      <c r="BA25" s="548" t="s">
        <v>317</v>
      </c>
      <c r="BB25" s="548" t="s">
        <v>318</v>
      </c>
      <c r="BC25" s="548" t="s">
        <v>319</v>
      </c>
      <c r="BD25" s="548" t="s">
        <v>320</v>
      </c>
      <c r="BE25" s="548" t="s">
        <v>321</v>
      </c>
      <c r="BF25" s="526" t="s">
        <v>566</v>
      </c>
      <c r="BG25" s="547" t="s">
        <v>310</v>
      </c>
      <c r="BH25" s="548" t="s">
        <v>311</v>
      </c>
      <c r="BI25" s="548" t="s">
        <v>312</v>
      </c>
      <c r="BJ25" s="548" t="s">
        <v>313</v>
      </c>
      <c r="BK25" s="548" t="s">
        <v>314</v>
      </c>
      <c r="BL25" s="548" t="s">
        <v>315</v>
      </c>
      <c r="BM25" s="548" t="s">
        <v>316</v>
      </c>
      <c r="BN25" s="548" t="s">
        <v>317</v>
      </c>
      <c r="BO25" s="548" t="s">
        <v>318</v>
      </c>
      <c r="BP25" s="548" t="s">
        <v>319</v>
      </c>
      <c r="BQ25" s="548" t="s">
        <v>320</v>
      </c>
      <c r="BR25" s="548" t="s">
        <v>321</v>
      </c>
      <c r="BS25" s="526" t="s">
        <v>567</v>
      </c>
    </row>
    <row r="26" spans="1:71" ht="15" customHeight="1">
      <c r="A26" s="527" t="s">
        <v>4</v>
      </c>
      <c r="B26" s="521" t="s">
        <v>53</v>
      </c>
      <c r="C26" s="529" t="s">
        <v>52</v>
      </c>
      <c r="D26" s="530">
        <v>1556667.6800000002</v>
      </c>
      <c r="E26" s="531">
        <v>45970.94999999999</v>
      </c>
      <c r="F26" s="531">
        <v>112697.85999999997</v>
      </c>
      <c r="G26" s="531">
        <v>68491.729999999967</v>
      </c>
      <c r="H26" s="531">
        <v>69936.919999999984</v>
      </c>
      <c r="I26" s="531">
        <v>66318.009999999995</v>
      </c>
      <c r="J26" s="531">
        <v>91354.049999999988</v>
      </c>
      <c r="K26" s="531">
        <v>181181.77999999962</v>
      </c>
      <c r="L26" s="531">
        <v>1182593.1000000003</v>
      </c>
      <c r="M26" s="531">
        <v>476071.8299999999</v>
      </c>
      <c r="N26" s="531">
        <v>1870292.7600000007</v>
      </c>
      <c r="O26" s="531">
        <v>1855852.2100000002</v>
      </c>
      <c r="P26" s="549">
        <f t="shared" ref="P26:P43" si="36">Q26-(D26+E26+F26+G26+H26+I26+J26+K26+L26+M26+N26+O26)</f>
        <v>571610.11999999918</v>
      </c>
      <c r="Q26" s="550">
        <v>8149039</v>
      </c>
      <c r="R26" s="530">
        <v>1895650</v>
      </c>
      <c r="S26" s="531">
        <v>86392</v>
      </c>
      <c r="T26" s="531">
        <v>-43939</v>
      </c>
      <c r="U26" s="531">
        <v>87690</v>
      </c>
      <c r="V26" s="531">
        <v>119193</v>
      </c>
      <c r="W26" s="531">
        <v>1225796</v>
      </c>
      <c r="X26" s="531">
        <v>726336</v>
      </c>
      <c r="Y26" s="531">
        <v>745618</v>
      </c>
      <c r="Z26" s="531">
        <v>531161.570000001</v>
      </c>
      <c r="AA26" s="531">
        <v>860789</v>
      </c>
      <c r="AB26" s="531">
        <v>640660</v>
      </c>
      <c r="AC26" s="531">
        <v>4220512</v>
      </c>
      <c r="AD26" s="549">
        <f t="shared" ref="AD26:AD43" si="37">AE26-(R26+S26+T26+U26+V26+W26+X26+Y26+Z26+AA26+AB26+AC26)</f>
        <v>40404.429999999702</v>
      </c>
      <c r="AE26" s="550">
        <v>11136263</v>
      </c>
      <c r="AF26" s="530">
        <v>1864733</v>
      </c>
      <c r="AG26" s="531">
        <v>101987</v>
      </c>
      <c r="AH26" s="531">
        <v>210810</v>
      </c>
      <c r="AI26" s="531">
        <v>65511.400000000009</v>
      </c>
      <c r="AJ26" s="531">
        <v>66862</v>
      </c>
      <c r="AK26" s="531">
        <v>136272</v>
      </c>
      <c r="AL26" s="531">
        <v>300642.64</v>
      </c>
      <c r="AM26" s="531">
        <v>581998</v>
      </c>
      <c r="AN26" s="531">
        <v>2811421</v>
      </c>
      <c r="AO26" s="531">
        <v>1783304.28</v>
      </c>
      <c r="AP26" s="531">
        <v>4815804.8499999996</v>
      </c>
      <c r="AQ26" s="531">
        <v>575456.36000000034</v>
      </c>
      <c r="AR26" s="531">
        <f t="shared" ref="AR26:AR48" si="38">AS26-(AF26+AG26+AH26+AI26+AJ26+AK26+AL26+AM26+AN26+AO26+AP26+AQ26)</f>
        <v>-2035559.5300000012</v>
      </c>
      <c r="AS26" s="550">
        <v>11279243</v>
      </c>
      <c r="AT26" s="530">
        <v>1704363</v>
      </c>
      <c r="AU26" s="531">
        <v>193800</v>
      </c>
      <c r="AV26" s="531">
        <v>347159</v>
      </c>
      <c r="AW26" s="531">
        <v>-991591</v>
      </c>
      <c r="AX26" s="531">
        <f t="shared" ref="AX26:AX48" si="39">(BF26-AT26-AU26-AV26-AW26)/8</f>
        <v>1928722.625</v>
      </c>
      <c r="AY26" s="531">
        <f t="shared" ref="AY26:BE41" si="40">AX26</f>
        <v>1928722.625</v>
      </c>
      <c r="AZ26" s="531">
        <f t="shared" si="40"/>
        <v>1928722.625</v>
      </c>
      <c r="BA26" s="531">
        <f t="shared" si="40"/>
        <v>1928722.625</v>
      </c>
      <c r="BB26" s="531">
        <f t="shared" si="40"/>
        <v>1928722.625</v>
      </c>
      <c r="BC26" s="531">
        <f t="shared" si="40"/>
        <v>1928722.625</v>
      </c>
      <c r="BD26" s="531">
        <f t="shared" si="40"/>
        <v>1928722.625</v>
      </c>
      <c r="BE26" s="531">
        <f t="shared" si="40"/>
        <v>1928722.625</v>
      </c>
      <c r="BF26" s="550">
        <v>16683512</v>
      </c>
      <c r="BG26" s="530">
        <f t="shared" ref="BG26:BG47" si="41">BS26/12</f>
        <v>1378903.6666666667</v>
      </c>
      <c r="BH26" s="531">
        <f t="shared" ref="BH26:BR41" si="42">BG26</f>
        <v>1378903.6666666667</v>
      </c>
      <c r="BI26" s="531">
        <f t="shared" si="42"/>
        <v>1378903.6666666667</v>
      </c>
      <c r="BJ26" s="531">
        <f t="shared" si="42"/>
        <v>1378903.6666666667</v>
      </c>
      <c r="BK26" s="531">
        <f t="shared" si="42"/>
        <v>1378903.6666666667</v>
      </c>
      <c r="BL26" s="531">
        <f t="shared" si="42"/>
        <v>1378903.6666666667</v>
      </c>
      <c r="BM26" s="531">
        <f t="shared" si="42"/>
        <v>1378903.6666666667</v>
      </c>
      <c r="BN26" s="531">
        <f t="shared" si="42"/>
        <v>1378903.6666666667</v>
      </c>
      <c r="BO26" s="531">
        <f t="shared" si="42"/>
        <v>1378903.6666666667</v>
      </c>
      <c r="BP26" s="531">
        <f t="shared" si="42"/>
        <v>1378903.6666666667</v>
      </c>
      <c r="BQ26" s="531">
        <f t="shared" si="42"/>
        <v>1378903.6666666667</v>
      </c>
      <c r="BR26" s="531">
        <f t="shared" si="42"/>
        <v>1378903.6666666667</v>
      </c>
      <c r="BS26" s="550">
        <v>16546844</v>
      </c>
    </row>
    <row r="27" spans="1:71" ht="15" customHeight="1">
      <c r="A27" s="527"/>
      <c r="B27" s="521" t="s">
        <v>55</v>
      </c>
      <c r="C27" s="529" t="s">
        <v>54</v>
      </c>
      <c r="D27" s="530">
        <v>24568.550000000007</v>
      </c>
      <c r="E27" s="531">
        <v>23777.999999999996</v>
      </c>
      <c r="F27" s="531">
        <v>25286.270000000004</v>
      </c>
      <c r="G27" s="531">
        <v>25299.45</v>
      </c>
      <c r="H27" s="531">
        <v>24959.45</v>
      </c>
      <c r="I27" s="531">
        <v>24711.619999999995</v>
      </c>
      <c r="J27" s="531">
        <v>25001.260000000002</v>
      </c>
      <c r="K27" s="531">
        <v>26878.039999999997</v>
      </c>
      <c r="L27" s="531">
        <v>26827.73000000001</v>
      </c>
      <c r="M27" s="531">
        <v>25643.759999999998</v>
      </c>
      <c r="N27" s="531">
        <v>10028.429999999978</v>
      </c>
      <c r="O27" s="531">
        <v>29297.99</v>
      </c>
      <c r="P27" s="531">
        <f t="shared" si="36"/>
        <v>35378.450000000012</v>
      </c>
      <c r="Q27" s="550">
        <v>327659</v>
      </c>
      <c r="R27" s="530">
        <v>21755</v>
      </c>
      <c r="S27" s="531">
        <v>20202</v>
      </c>
      <c r="T27" s="531">
        <v>19243</v>
      </c>
      <c r="U27" s="531">
        <v>20809</v>
      </c>
      <c r="V27" s="531">
        <v>21294</v>
      </c>
      <c r="W27" s="531">
        <v>28876</v>
      </c>
      <c r="X27" s="531">
        <v>23175</v>
      </c>
      <c r="Y27" s="531">
        <v>23393</v>
      </c>
      <c r="Z27" s="531">
        <v>26872.070000000007</v>
      </c>
      <c r="AA27" s="531">
        <v>25331</v>
      </c>
      <c r="AB27" s="531">
        <v>14973</v>
      </c>
      <c r="AC27" s="531">
        <v>21641</v>
      </c>
      <c r="AD27" s="531">
        <f t="shared" si="37"/>
        <v>5067.929999999993</v>
      </c>
      <c r="AE27" s="550">
        <v>272632</v>
      </c>
      <c r="AF27" s="530">
        <v>18645</v>
      </c>
      <c r="AG27" s="531">
        <v>18881</v>
      </c>
      <c r="AH27" s="531">
        <v>19710</v>
      </c>
      <c r="AI27" s="531">
        <v>18506.009999999998</v>
      </c>
      <c r="AJ27" s="531">
        <v>19006</v>
      </c>
      <c r="AK27" s="531">
        <v>18635</v>
      </c>
      <c r="AL27" s="531">
        <v>16976.290000000008</v>
      </c>
      <c r="AM27" s="531">
        <v>18159</v>
      </c>
      <c r="AN27" s="531">
        <v>30066</v>
      </c>
      <c r="AO27" s="531">
        <v>19305.21</v>
      </c>
      <c r="AP27" s="531">
        <v>-33961</v>
      </c>
      <c r="AQ27" s="531">
        <v>17706.190000000002</v>
      </c>
      <c r="AR27" s="531">
        <f t="shared" si="38"/>
        <v>57552.300000000017</v>
      </c>
      <c r="AS27" s="550">
        <v>239187</v>
      </c>
      <c r="AT27" s="530">
        <v>16168</v>
      </c>
      <c r="AU27" s="531">
        <v>21103</v>
      </c>
      <c r="AV27" s="531">
        <v>22462</v>
      </c>
      <c r="AW27" s="531">
        <v>19217</v>
      </c>
      <c r="AX27" s="531">
        <f t="shared" si="39"/>
        <v>24897.125</v>
      </c>
      <c r="AY27" s="531">
        <f t="shared" si="40"/>
        <v>24897.125</v>
      </c>
      <c r="AZ27" s="531">
        <f t="shared" si="40"/>
        <v>24897.125</v>
      </c>
      <c r="BA27" s="531">
        <f t="shared" si="40"/>
        <v>24897.125</v>
      </c>
      <c r="BB27" s="531">
        <f t="shared" si="40"/>
        <v>24897.125</v>
      </c>
      <c r="BC27" s="531">
        <f t="shared" si="40"/>
        <v>24897.125</v>
      </c>
      <c r="BD27" s="531">
        <f t="shared" si="40"/>
        <v>24897.125</v>
      </c>
      <c r="BE27" s="531">
        <f t="shared" si="40"/>
        <v>24897.125</v>
      </c>
      <c r="BF27" s="550">
        <v>278127</v>
      </c>
      <c r="BG27" s="530">
        <f t="shared" si="41"/>
        <v>34566.25</v>
      </c>
      <c r="BH27" s="531">
        <f t="shared" si="42"/>
        <v>34566.25</v>
      </c>
      <c r="BI27" s="531">
        <f t="shared" si="42"/>
        <v>34566.25</v>
      </c>
      <c r="BJ27" s="531">
        <f t="shared" si="42"/>
        <v>34566.25</v>
      </c>
      <c r="BK27" s="531">
        <f t="shared" si="42"/>
        <v>34566.25</v>
      </c>
      <c r="BL27" s="531">
        <f t="shared" si="42"/>
        <v>34566.25</v>
      </c>
      <c r="BM27" s="531">
        <f t="shared" si="42"/>
        <v>34566.25</v>
      </c>
      <c r="BN27" s="531">
        <f t="shared" si="42"/>
        <v>34566.25</v>
      </c>
      <c r="BO27" s="531">
        <f t="shared" si="42"/>
        <v>34566.25</v>
      </c>
      <c r="BP27" s="531">
        <f t="shared" si="42"/>
        <v>34566.25</v>
      </c>
      <c r="BQ27" s="531">
        <f t="shared" si="42"/>
        <v>34566.25</v>
      </c>
      <c r="BR27" s="531">
        <f t="shared" si="42"/>
        <v>34566.25</v>
      </c>
      <c r="BS27" s="550">
        <v>414795</v>
      </c>
    </row>
    <row r="28" spans="1:71" s="557" customFormat="1">
      <c r="A28" s="551" t="s">
        <v>339</v>
      </c>
      <c r="B28" s="552"/>
      <c r="C28" s="553"/>
      <c r="D28" s="554">
        <f>SUM(D26:D27)</f>
        <v>1581236.2300000002</v>
      </c>
      <c r="E28" s="555">
        <f t="shared" ref="E28:O28" si="43">SUM(E26:E27)</f>
        <v>69748.949999999983</v>
      </c>
      <c r="F28" s="555">
        <f t="shared" si="43"/>
        <v>137984.12999999998</v>
      </c>
      <c r="G28" s="555">
        <f t="shared" si="43"/>
        <v>93791.179999999964</v>
      </c>
      <c r="H28" s="555">
        <f t="shared" si="43"/>
        <v>94896.369999999981</v>
      </c>
      <c r="I28" s="555">
        <f t="shared" si="43"/>
        <v>91029.62999999999</v>
      </c>
      <c r="J28" s="555">
        <f t="shared" si="43"/>
        <v>116355.31</v>
      </c>
      <c r="K28" s="555">
        <f t="shared" si="43"/>
        <v>208059.81999999963</v>
      </c>
      <c r="L28" s="555">
        <f t="shared" si="43"/>
        <v>1209420.8300000003</v>
      </c>
      <c r="M28" s="555">
        <f t="shared" si="43"/>
        <v>501715.58999999991</v>
      </c>
      <c r="N28" s="555">
        <f t="shared" si="43"/>
        <v>1880321.1900000006</v>
      </c>
      <c r="O28" s="555">
        <f t="shared" si="43"/>
        <v>1885150.2000000002</v>
      </c>
      <c r="P28" s="555">
        <f t="shared" si="36"/>
        <v>606988.56999999937</v>
      </c>
      <c r="Q28" s="556">
        <f>SUM(Q26:Q27)</f>
        <v>8476698</v>
      </c>
      <c r="R28" s="554">
        <f t="shared" ref="R28:AA28" si="44">SUM(R26:R27)</f>
        <v>1917405</v>
      </c>
      <c r="S28" s="554">
        <f t="shared" si="44"/>
        <v>106594</v>
      </c>
      <c r="T28" s="555">
        <f t="shared" si="44"/>
        <v>-24696</v>
      </c>
      <c r="U28" s="555">
        <f t="shared" si="44"/>
        <v>108499</v>
      </c>
      <c r="V28" s="555">
        <f t="shared" si="44"/>
        <v>140487</v>
      </c>
      <c r="W28" s="555">
        <f t="shared" si="44"/>
        <v>1254672</v>
      </c>
      <c r="X28" s="555">
        <f t="shared" si="44"/>
        <v>749511</v>
      </c>
      <c r="Y28" s="555">
        <f t="shared" si="44"/>
        <v>769011</v>
      </c>
      <c r="Z28" s="555">
        <f t="shared" si="44"/>
        <v>558033.64000000106</v>
      </c>
      <c r="AA28" s="555">
        <f t="shared" si="44"/>
        <v>886120</v>
      </c>
      <c r="AB28" s="555">
        <f>SUM(AB26:AB27)</f>
        <v>655633</v>
      </c>
      <c r="AC28" s="555">
        <f>SUM(AC26:AC27)</f>
        <v>4242153</v>
      </c>
      <c r="AD28" s="555">
        <f t="shared" si="37"/>
        <v>45472.359999999404</v>
      </c>
      <c r="AE28" s="556">
        <f t="shared" ref="AE28:AP28" si="45">SUM(AE26:AE27)</f>
        <v>11408895</v>
      </c>
      <c r="AF28" s="554">
        <f t="shared" si="45"/>
        <v>1883378</v>
      </c>
      <c r="AG28" s="555">
        <f t="shared" si="45"/>
        <v>120868</v>
      </c>
      <c r="AH28" s="555">
        <f t="shared" si="45"/>
        <v>230520</v>
      </c>
      <c r="AI28" s="555">
        <f t="shared" si="45"/>
        <v>84017.41</v>
      </c>
      <c r="AJ28" s="555">
        <f t="shared" si="45"/>
        <v>85868</v>
      </c>
      <c r="AK28" s="555">
        <f t="shared" si="45"/>
        <v>154907</v>
      </c>
      <c r="AL28" s="555">
        <f t="shared" si="45"/>
        <v>317618.93000000005</v>
      </c>
      <c r="AM28" s="555">
        <f t="shared" si="45"/>
        <v>600157</v>
      </c>
      <c r="AN28" s="555">
        <f t="shared" si="45"/>
        <v>2841487</v>
      </c>
      <c r="AO28" s="555">
        <f t="shared" si="45"/>
        <v>1802609.49</v>
      </c>
      <c r="AP28" s="555">
        <f t="shared" si="45"/>
        <v>4781843.8499999996</v>
      </c>
      <c r="AQ28" s="555">
        <f>SUM(AQ26:AQ27)</f>
        <v>593162.55000000028</v>
      </c>
      <c r="AR28" s="555">
        <f t="shared" si="38"/>
        <v>-1978007.2300000004</v>
      </c>
      <c r="AS28" s="556">
        <f>SUM(AS26:AS27)</f>
        <v>11518430</v>
      </c>
      <c r="AT28" s="554">
        <f t="shared" ref="AT28" si="46">SUM(AT26:AT27)</f>
        <v>1720531</v>
      </c>
      <c r="AU28" s="555">
        <f>SUM(AU26:AU27)</f>
        <v>214903</v>
      </c>
      <c r="AV28" s="555">
        <f>SUM(AV26:AV27)</f>
        <v>369621</v>
      </c>
      <c r="AW28" s="555">
        <f>SUM(AW26:AW27)</f>
        <v>-972374</v>
      </c>
      <c r="AX28" s="555">
        <f t="shared" si="39"/>
        <v>1953619.75</v>
      </c>
      <c r="AY28" s="555">
        <f t="shared" si="40"/>
        <v>1953619.75</v>
      </c>
      <c r="AZ28" s="555">
        <f t="shared" si="40"/>
        <v>1953619.75</v>
      </c>
      <c r="BA28" s="555">
        <f t="shared" si="40"/>
        <v>1953619.75</v>
      </c>
      <c r="BB28" s="555">
        <f t="shared" si="40"/>
        <v>1953619.75</v>
      </c>
      <c r="BC28" s="555">
        <f t="shared" si="40"/>
        <v>1953619.75</v>
      </c>
      <c r="BD28" s="555">
        <f t="shared" si="40"/>
        <v>1953619.75</v>
      </c>
      <c r="BE28" s="555">
        <f t="shared" si="40"/>
        <v>1953619.75</v>
      </c>
      <c r="BF28" s="556">
        <f>SUM(BF26:BF27)</f>
        <v>16961639</v>
      </c>
      <c r="BG28" s="554">
        <f t="shared" si="41"/>
        <v>1413469.9166666667</v>
      </c>
      <c r="BH28" s="555">
        <f t="shared" si="42"/>
        <v>1413469.9166666667</v>
      </c>
      <c r="BI28" s="555">
        <f t="shared" si="42"/>
        <v>1413469.9166666667</v>
      </c>
      <c r="BJ28" s="555">
        <f t="shared" si="42"/>
        <v>1413469.9166666667</v>
      </c>
      <c r="BK28" s="555">
        <f t="shared" si="42"/>
        <v>1413469.9166666667</v>
      </c>
      <c r="BL28" s="555">
        <f t="shared" si="42"/>
        <v>1413469.9166666667</v>
      </c>
      <c r="BM28" s="555">
        <f t="shared" si="42"/>
        <v>1413469.9166666667</v>
      </c>
      <c r="BN28" s="555">
        <f t="shared" si="42"/>
        <v>1413469.9166666667</v>
      </c>
      <c r="BO28" s="555">
        <f t="shared" si="42"/>
        <v>1413469.9166666667</v>
      </c>
      <c r="BP28" s="555">
        <f t="shared" si="42"/>
        <v>1413469.9166666667</v>
      </c>
      <c r="BQ28" s="555">
        <f t="shared" si="42"/>
        <v>1413469.9166666667</v>
      </c>
      <c r="BR28" s="555">
        <f t="shared" si="42"/>
        <v>1413469.9166666667</v>
      </c>
      <c r="BS28" s="556">
        <f>SUM(BS26:BS27)</f>
        <v>16961639</v>
      </c>
    </row>
    <row r="29" spans="1:71" ht="15" customHeight="1">
      <c r="A29" s="527" t="s">
        <v>200</v>
      </c>
      <c r="B29" s="521" t="s">
        <v>113</v>
      </c>
      <c r="C29" s="529" t="s">
        <v>115</v>
      </c>
      <c r="D29" s="530"/>
      <c r="E29" s="531"/>
      <c r="F29" s="531"/>
      <c r="G29" s="531"/>
      <c r="H29" s="531"/>
      <c r="I29" s="531"/>
      <c r="J29" s="531"/>
      <c r="K29" s="531"/>
      <c r="L29" s="531"/>
      <c r="M29" s="531"/>
      <c r="N29" s="531"/>
      <c r="O29" s="531"/>
      <c r="P29" s="531">
        <f t="shared" si="36"/>
        <v>0</v>
      </c>
      <c r="Q29" s="550">
        <v>0</v>
      </c>
      <c r="R29" s="530">
        <v>0</v>
      </c>
      <c r="S29" s="531">
        <f t="shared" ref="S29:S47" si="47">(AE29-R29)/11</f>
        <v>0</v>
      </c>
      <c r="T29" s="531">
        <f t="shared" ref="T29:T42" si="48">(AE29-R29-S29)/10</f>
        <v>0</v>
      </c>
      <c r="U29" s="531"/>
      <c r="V29" s="531">
        <f t="shared" ref="V29:V42" si="49">(AE29-R29-S29-T29-U29)/8</f>
        <v>0</v>
      </c>
      <c r="W29" s="531">
        <f t="shared" ref="W29:W42" si="50">(AE29-R29-S29-T29-U29-V29)/7</f>
        <v>0</v>
      </c>
      <c r="X29" s="531">
        <f t="shared" ref="X29:X42" si="51">(AE29-R29-S29-T29-U29-V29-W29)/6</f>
        <v>0</v>
      </c>
      <c r="Y29" s="531">
        <f t="shared" ref="Y29:Y42" si="52">(AE29-R29-S29-T29-U29-V29-W29-X29)/5</f>
        <v>0</v>
      </c>
      <c r="Z29" s="531">
        <v>0</v>
      </c>
      <c r="AA29" s="531">
        <f t="shared" ref="AA29:AA42" si="53">(AE29-R29-S29-T29-U29-V29-W29-X29-Y29-Z29)/3</f>
        <v>0</v>
      </c>
      <c r="AB29" s="531">
        <f t="shared" ref="AB29:AB42" si="54">(AE29-R29-S29-T29-U29-V29-W29-X29-Y29-Z29-AA29)/2</f>
        <v>0</v>
      </c>
      <c r="AC29" s="531">
        <f t="shared" ref="AC29:AC42" si="55">AE29-R29-S29-T29-U29-V29-W29-X29-Y29-Z29-AA29-AB29</f>
        <v>0</v>
      </c>
      <c r="AD29" s="531">
        <f t="shared" si="37"/>
        <v>0</v>
      </c>
      <c r="AE29" s="550">
        <v>0</v>
      </c>
      <c r="AF29" s="530">
        <f t="shared" ref="AF29:AF42" si="56">AS29/12</f>
        <v>0</v>
      </c>
      <c r="AG29" s="531">
        <f t="shared" ref="AG29:AG47" si="57">(AS29-AF29)/11</f>
        <v>0</v>
      </c>
      <c r="AH29" s="531">
        <f t="shared" ref="AH29:AH42" si="58">(AS29-AF29-AG29)/10</f>
        <v>0</v>
      </c>
      <c r="AI29" s="531">
        <f t="shared" ref="AI29:AI47" si="59">(AS29-AF29-AG29-AH29)/9</f>
        <v>0</v>
      </c>
      <c r="AJ29" s="531">
        <f t="shared" ref="AJ29:AJ47" si="60">(AS29-AF29-AG29-AH29-AI29)/8</f>
        <v>0</v>
      </c>
      <c r="AK29" s="531">
        <f t="shared" ref="AK29:AK47" si="61">(AS29-AF29-AG29-AH29-AI29-AJ29)/7</f>
        <v>0</v>
      </c>
      <c r="AL29" s="531">
        <f t="shared" ref="AL29:AL47" si="62">(AS29-AF29-AG29-AH29-AI29-AJ29-AK29)/6</f>
        <v>0</v>
      </c>
      <c r="AM29" s="531">
        <f t="shared" ref="AM29:AM47" si="63">(AS29-AF29-AG29-AH29-AI29-AJ29-AK29-AL29)/5</f>
        <v>0</v>
      </c>
      <c r="AN29" s="531">
        <f t="shared" ref="AN29:AN47" si="64">(AS29-AF29-AG29-AH29-AI29-AJ29-AK29-AL29-AM29)/4</f>
        <v>0</v>
      </c>
      <c r="AO29" s="531">
        <f t="shared" ref="AO29:AO47" si="65">(AS29-AF29-AG29-AH29-AI29-AJ29-AK29-AL29-AM29-AN29)/3</f>
        <v>0</v>
      </c>
      <c r="AP29" s="531">
        <f t="shared" ref="AP29:AP47" si="66">(AS29-AF29-AG29-AH29-AI29-AJ29-AK29-AL29-AM29-AN29-AO29)/2</f>
        <v>0</v>
      </c>
      <c r="AQ29" s="531">
        <f t="shared" ref="AQ29:AQ47" si="67">AS29-AF29-AG29-AH29-AI29-AJ29-AK29-AL29-AM29-AN29-AO29-AP29</f>
        <v>0</v>
      </c>
      <c r="AR29" s="531">
        <f t="shared" si="38"/>
        <v>0</v>
      </c>
      <c r="AS29" s="550">
        <v>0</v>
      </c>
      <c r="AT29" s="530">
        <f t="shared" ref="AT29:AT32" si="68">BF29/12</f>
        <v>0</v>
      </c>
      <c r="AU29" s="531">
        <f t="shared" ref="AU29:AU47" si="69">(BF29-AT29)/11</f>
        <v>0</v>
      </c>
      <c r="AV29" s="531">
        <f t="shared" ref="AV29:AV47" si="70">(BF29-AT29-AU29)/10</f>
        <v>0</v>
      </c>
      <c r="AW29" s="531">
        <f t="shared" ref="AW29:AW47" si="71">(BF29-AT29-AU29-AV29)/9</f>
        <v>0</v>
      </c>
      <c r="AX29" s="531">
        <f t="shared" si="39"/>
        <v>0</v>
      </c>
      <c r="AY29" s="531">
        <f t="shared" si="40"/>
        <v>0</v>
      </c>
      <c r="AZ29" s="531">
        <f t="shared" si="40"/>
        <v>0</v>
      </c>
      <c r="BA29" s="531">
        <f t="shared" si="40"/>
        <v>0</v>
      </c>
      <c r="BB29" s="531">
        <f t="shared" si="40"/>
        <v>0</v>
      </c>
      <c r="BC29" s="531">
        <f t="shared" si="40"/>
        <v>0</v>
      </c>
      <c r="BD29" s="531">
        <f t="shared" si="40"/>
        <v>0</v>
      </c>
      <c r="BE29" s="531">
        <f t="shared" si="40"/>
        <v>0</v>
      </c>
      <c r="BF29" s="550">
        <v>0</v>
      </c>
      <c r="BG29" s="530">
        <f t="shared" si="41"/>
        <v>0</v>
      </c>
      <c r="BH29" s="531">
        <f t="shared" si="42"/>
        <v>0</v>
      </c>
      <c r="BI29" s="531">
        <f t="shared" si="42"/>
        <v>0</v>
      </c>
      <c r="BJ29" s="531">
        <f t="shared" si="42"/>
        <v>0</v>
      </c>
      <c r="BK29" s="531">
        <f t="shared" si="42"/>
        <v>0</v>
      </c>
      <c r="BL29" s="531">
        <f t="shared" si="42"/>
        <v>0</v>
      </c>
      <c r="BM29" s="531">
        <f t="shared" si="42"/>
        <v>0</v>
      </c>
      <c r="BN29" s="531">
        <f t="shared" si="42"/>
        <v>0</v>
      </c>
      <c r="BO29" s="531">
        <f t="shared" si="42"/>
        <v>0</v>
      </c>
      <c r="BP29" s="531">
        <f t="shared" si="42"/>
        <v>0</v>
      </c>
      <c r="BQ29" s="531">
        <f t="shared" si="42"/>
        <v>0</v>
      </c>
      <c r="BR29" s="531">
        <f t="shared" si="42"/>
        <v>0</v>
      </c>
      <c r="BS29" s="550">
        <v>0</v>
      </c>
    </row>
    <row r="30" spans="1:71" ht="15" customHeight="1">
      <c r="A30" s="527"/>
      <c r="B30" s="521" t="s">
        <v>119</v>
      </c>
      <c r="C30" s="529" t="s">
        <v>340</v>
      </c>
      <c r="D30" s="530"/>
      <c r="E30" s="531"/>
      <c r="F30" s="531"/>
      <c r="G30" s="531"/>
      <c r="H30" s="531"/>
      <c r="I30" s="531"/>
      <c r="J30" s="531"/>
      <c r="K30" s="531"/>
      <c r="L30" s="531"/>
      <c r="M30" s="531"/>
      <c r="N30" s="531"/>
      <c r="O30" s="531"/>
      <c r="P30" s="531">
        <f t="shared" si="36"/>
        <v>0</v>
      </c>
      <c r="Q30" s="550">
        <v>0</v>
      </c>
      <c r="R30" s="530">
        <v>0</v>
      </c>
      <c r="S30" s="531">
        <f t="shared" si="47"/>
        <v>0</v>
      </c>
      <c r="T30" s="531">
        <f t="shared" si="48"/>
        <v>0</v>
      </c>
      <c r="U30" s="531">
        <f t="shared" ref="U30:U42" si="72">(AE30-R30-S30-T30)/9</f>
        <v>0</v>
      </c>
      <c r="V30" s="531">
        <f t="shared" si="49"/>
        <v>0</v>
      </c>
      <c r="W30" s="531">
        <f t="shared" si="50"/>
        <v>0</v>
      </c>
      <c r="X30" s="531">
        <f t="shared" si="51"/>
        <v>0</v>
      </c>
      <c r="Y30" s="531">
        <f t="shared" si="52"/>
        <v>0</v>
      </c>
      <c r="Z30" s="531">
        <v>0</v>
      </c>
      <c r="AA30" s="531">
        <f t="shared" si="53"/>
        <v>0</v>
      </c>
      <c r="AB30" s="531">
        <f t="shared" si="54"/>
        <v>0</v>
      </c>
      <c r="AC30" s="531">
        <f t="shared" si="55"/>
        <v>0</v>
      </c>
      <c r="AD30" s="531">
        <f t="shared" si="37"/>
        <v>0</v>
      </c>
      <c r="AE30" s="550">
        <v>0</v>
      </c>
      <c r="AF30" s="530">
        <f t="shared" si="56"/>
        <v>0</v>
      </c>
      <c r="AG30" s="531">
        <f t="shared" si="57"/>
        <v>0</v>
      </c>
      <c r="AH30" s="531">
        <f t="shared" si="58"/>
        <v>0</v>
      </c>
      <c r="AI30" s="531">
        <f t="shared" si="59"/>
        <v>0</v>
      </c>
      <c r="AJ30" s="531">
        <f t="shared" si="60"/>
        <v>0</v>
      </c>
      <c r="AK30" s="531">
        <f t="shared" si="61"/>
        <v>0</v>
      </c>
      <c r="AL30" s="531">
        <f t="shared" si="62"/>
        <v>0</v>
      </c>
      <c r="AM30" s="531">
        <f t="shared" si="63"/>
        <v>0</v>
      </c>
      <c r="AN30" s="531">
        <f t="shared" si="64"/>
        <v>0</v>
      </c>
      <c r="AO30" s="531">
        <f t="shared" si="65"/>
        <v>0</v>
      </c>
      <c r="AP30" s="531">
        <f t="shared" si="66"/>
        <v>0</v>
      </c>
      <c r="AQ30" s="531">
        <f t="shared" si="67"/>
        <v>0</v>
      </c>
      <c r="AR30" s="531">
        <f t="shared" si="38"/>
        <v>0</v>
      </c>
      <c r="AS30" s="550">
        <v>0</v>
      </c>
      <c r="AT30" s="530">
        <f t="shared" si="68"/>
        <v>0</v>
      </c>
      <c r="AU30" s="531">
        <f t="shared" si="69"/>
        <v>0</v>
      </c>
      <c r="AV30" s="531">
        <f t="shared" si="70"/>
        <v>0</v>
      </c>
      <c r="AW30" s="531">
        <f t="shared" si="71"/>
        <v>0</v>
      </c>
      <c r="AX30" s="531">
        <f t="shared" si="39"/>
        <v>0</v>
      </c>
      <c r="AY30" s="531">
        <f t="shared" si="40"/>
        <v>0</v>
      </c>
      <c r="AZ30" s="531">
        <f t="shared" si="40"/>
        <v>0</v>
      </c>
      <c r="BA30" s="531">
        <f t="shared" si="40"/>
        <v>0</v>
      </c>
      <c r="BB30" s="531">
        <f t="shared" si="40"/>
        <v>0</v>
      </c>
      <c r="BC30" s="531">
        <f t="shared" si="40"/>
        <v>0</v>
      </c>
      <c r="BD30" s="531">
        <f t="shared" si="40"/>
        <v>0</v>
      </c>
      <c r="BE30" s="531">
        <f t="shared" si="40"/>
        <v>0</v>
      </c>
      <c r="BF30" s="550">
        <v>0</v>
      </c>
      <c r="BG30" s="530">
        <f t="shared" si="41"/>
        <v>0</v>
      </c>
      <c r="BH30" s="531">
        <f t="shared" si="42"/>
        <v>0</v>
      </c>
      <c r="BI30" s="531">
        <f t="shared" si="42"/>
        <v>0</v>
      </c>
      <c r="BJ30" s="531">
        <f t="shared" si="42"/>
        <v>0</v>
      </c>
      <c r="BK30" s="531">
        <f t="shared" si="42"/>
        <v>0</v>
      </c>
      <c r="BL30" s="531">
        <f t="shared" si="42"/>
        <v>0</v>
      </c>
      <c r="BM30" s="531">
        <f t="shared" si="42"/>
        <v>0</v>
      </c>
      <c r="BN30" s="531">
        <f t="shared" si="42"/>
        <v>0</v>
      </c>
      <c r="BO30" s="531">
        <f t="shared" si="42"/>
        <v>0</v>
      </c>
      <c r="BP30" s="531">
        <f t="shared" si="42"/>
        <v>0</v>
      </c>
      <c r="BQ30" s="531">
        <f t="shared" si="42"/>
        <v>0</v>
      </c>
      <c r="BR30" s="531">
        <f t="shared" si="42"/>
        <v>0</v>
      </c>
      <c r="BS30" s="550">
        <v>0</v>
      </c>
    </row>
    <row r="31" spans="1:71">
      <c r="A31" s="527"/>
      <c r="B31" s="521" t="s">
        <v>118</v>
      </c>
      <c r="C31" s="529" t="s">
        <v>341</v>
      </c>
      <c r="D31" s="530"/>
      <c r="E31" s="531"/>
      <c r="F31" s="531"/>
      <c r="G31" s="531"/>
      <c r="H31" s="531"/>
      <c r="I31" s="531"/>
      <c r="J31" s="531"/>
      <c r="K31" s="531"/>
      <c r="L31" s="531"/>
      <c r="M31" s="531"/>
      <c r="N31" s="531"/>
      <c r="O31" s="531"/>
      <c r="P31" s="531">
        <f t="shared" si="36"/>
        <v>0</v>
      </c>
      <c r="Q31" s="550">
        <v>0</v>
      </c>
      <c r="R31" s="530">
        <v>0</v>
      </c>
      <c r="S31" s="531">
        <f t="shared" si="47"/>
        <v>0</v>
      </c>
      <c r="T31" s="531">
        <f t="shared" si="48"/>
        <v>0</v>
      </c>
      <c r="U31" s="531">
        <f t="shared" si="72"/>
        <v>0</v>
      </c>
      <c r="V31" s="531">
        <f t="shared" si="49"/>
        <v>0</v>
      </c>
      <c r="W31" s="531">
        <f t="shared" si="50"/>
        <v>0</v>
      </c>
      <c r="X31" s="531">
        <f t="shared" si="51"/>
        <v>0</v>
      </c>
      <c r="Y31" s="531">
        <f t="shared" si="52"/>
        <v>0</v>
      </c>
      <c r="Z31" s="531">
        <v>0</v>
      </c>
      <c r="AA31" s="531">
        <f t="shared" si="53"/>
        <v>0</v>
      </c>
      <c r="AB31" s="531">
        <f t="shared" si="54"/>
        <v>0</v>
      </c>
      <c r="AC31" s="531">
        <f t="shared" si="55"/>
        <v>0</v>
      </c>
      <c r="AD31" s="531">
        <f t="shared" si="37"/>
        <v>0</v>
      </c>
      <c r="AE31" s="550">
        <v>0</v>
      </c>
      <c r="AF31" s="530">
        <f t="shared" si="56"/>
        <v>0</v>
      </c>
      <c r="AG31" s="531">
        <f t="shared" si="57"/>
        <v>0</v>
      </c>
      <c r="AH31" s="531">
        <f t="shared" si="58"/>
        <v>0</v>
      </c>
      <c r="AI31" s="531">
        <f t="shared" si="59"/>
        <v>0</v>
      </c>
      <c r="AJ31" s="531">
        <f t="shared" si="60"/>
        <v>0</v>
      </c>
      <c r="AK31" s="531">
        <f t="shared" si="61"/>
        <v>0</v>
      </c>
      <c r="AL31" s="531">
        <f t="shared" si="62"/>
        <v>0</v>
      </c>
      <c r="AM31" s="531">
        <f t="shared" si="63"/>
        <v>0</v>
      </c>
      <c r="AN31" s="531">
        <f t="shared" si="64"/>
        <v>0</v>
      </c>
      <c r="AO31" s="531">
        <f t="shared" si="65"/>
        <v>0</v>
      </c>
      <c r="AP31" s="531">
        <f t="shared" si="66"/>
        <v>0</v>
      </c>
      <c r="AQ31" s="531">
        <f t="shared" si="67"/>
        <v>0</v>
      </c>
      <c r="AR31" s="531">
        <f t="shared" si="38"/>
        <v>0</v>
      </c>
      <c r="AS31" s="550">
        <v>0</v>
      </c>
      <c r="AT31" s="530">
        <f t="shared" si="68"/>
        <v>0</v>
      </c>
      <c r="AU31" s="531">
        <f t="shared" si="69"/>
        <v>0</v>
      </c>
      <c r="AV31" s="531">
        <f t="shared" si="70"/>
        <v>0</v>
      </c>
      <c r="AW31" s="531">
        <f t="shared" si="71"/>
        <v>0</v>
      </c>
      <c r="AX31" s="531">
        <f t="shared" si="39"/>
        <v>0</v>
      </c>
      <c r="AY31" s="531">
        <f t="shared" si="40"/>
        <v>0</v>
      </c>
      <c r="AZ31" s="531">
        <f t="shared" si="40"/>
        <v>0</v>
      </c>
      <c r="BA31" s="531">
        <f t="shared" si="40"/>
        <v>0</v>
      </c>
      <c r="BB31" s="531">
        <f t="shared" si="40"/>
        <v>0</v>
      </c>
      <c r="BC31" s="531">
        <f t="shared" si="40"/>
        <v>0</v>
      </c>
      <c r="BD31" s="531">
        <f t="shared" si="40"/>
        <v>0</v>
      </c>
      <c r="BE31" s="531">
        <f t="shared" si="40"/>
        <v>0</v>
      </c>
      <c r="BF31" s="550">
        <v>0</v>
      </c>
      <c r="BG31" s="530">
        <f t="shared" si="41"/>
        <v>0</v>
      </c>
      <c r="BH31" s="531">
        <f t="shared" si="42"/>
        <v>0</v>
      </c>
      <c r="BI31" s="531">
        <f t="shared" si="42"/>
        <v>0</v>
      </c>
      <c r="BJ31" s="531">
        <f t="shared" si="42"/>
        <v>0</v>
      </c>
      <c r="BK31" s="531">
        <f t="shared" si="42"/>
        <v>0</v>
      </c>
      <c r="BL31" s="531">
        <f t="shared" si="42"/>
        <v>0</v>
      </c>
      <c r="BM31" s="531">
        <f t="shared" si="42"/>
        <v>0</v>
      </c>
      <c r="BN31" s="531">
        <f t="shared" si="42"/>
        <v>0</v>
      </c>
      <c r="BO31" s="531">
        <f t="shared" si="42"/>
        <v>0</v>
      </c>
      <c r="BP31" s="531">
        <f t="shared" si="42"/>
        <v>0</v>
      </c>
      <c r="BQ31" s="531">
        <f t="shared" si="42"/>
        <v>0</v>
      </c>
      <c r="BR31" s="531">
        <f t="shared" si="42"/>
        <v>0</v>
      </c>
      <c r="BS31" s="550">
        <v>0</v>
      </c>
    </row>
    <row r="32" spans="1:71">
      <c r="A32" s="527"/>
      <c r="B32" s="521" t="s">
        <v>367</v>
      </c>
      <c r="C32" s="529" t="s">
        <v>369</v>
      </c>
      <c r="D32" s="530"/>
      <c r="E32" s="531"/>
      <c r="F32" s="531"/>
      <c r="G32" s="531"/>
      <c r="H32" s="531"/>
      <c r="I32" s="531"/>
      <c r="J32" s="531"/>
      <c r="K32" s="531"/>
      <c r="L32" s="531"/>
      <c r="M32" s="531"/>
      <c r="N32" s="531"/>
      <c r="O32" s="531"/>
      <c r="P32" s="531">
        <f t="shared" si="36"/>
        <v>0</v>
      </c>
      <c r="Q32" s="550">
        <v>0</v>
      </c>
      <c r="R32" s="530">
        <v>0</v>
      </c>
      <c r="S32" s="531">
        <f t="shared" si="47"/>
        <v>0</v>
      </c>
      <c r="T32" s="531">
        <f t="shared" si="48"/>
        <v>0</v>
      </c>
      <c r="U32" s="531">
        <f t="shared" si="72"/>
        <v>0</v>
      </c>
      <c r="V32" s="531">
        <f t="shared" si="49"/>
        <v>0</v>
      </c>
      <c r="W32" s="531">
        <f t="shared" si="50"/>
        <v>0</v>
      </c>
      <c r="X32" s="531">
        <f t="shared" si="51"/>
        <v>0</v>
      </c>
      <c r="Y32" s="531">
        <f t="shared" si="52"/>
        <v>0</v>
      </c>
      <c r="Z32" s="531">
        <v>0</v>
      </c>
      <c r="AA32" s="531">
        <f t="shared" si="53"/>
        <v>0</v>
      </c>
      <c r="AB32" s="531">
        <f t="shared" si="54"/>
        <v>0</v>
      </c>
      <c r="AC32" s="531">
        <f t="shared" si="55"/>
        <v>0</v>
      </c>
      <c r="AD32" s="531">
        <f t="shared" si="37"/>
        <v>0</v>
      </c>
      <c r="AE32" s="550">
        <v>0</v>
      </c>
      <c r="AF32" s="530">
        <f t="shared" si="56"/>
        <v>0</v>
      </c>
      <c r="AG32" s="531">
        <f t="shared" si="57"/>
        <v>0</v>
      </c>
      <c r="AH32" s="531">
        <f t="shared" si="58"/>
        <v>0</v>
      </c>
      <c r="AI32" s="531">
        <f t="shared" si="59"/>
        <v>0</v>
      </c>
      <c r="AJ32" s="531">
        <f t="shared" si="60"/>
        <v>0</v>
      </c>
      <c r="AK32" s="531">
        <f t="shared" si="61"/>
        <v>0</v>
      </c>
      <c r="AL32" s="531">
        <f t="shared" si="62"/>
        <v>0</v>
      </c>
      <c r="AM32" s="531">
        <f t="shared" si="63"/>
        <v>0</v>
      </c>
      <c r="AN32" s="531">
        <f t="shared" si="64"/>
        <v>0</v>
      </c>
      <c r="AO32" s="531">
        <f t="shared" si="65"/>
        <v>0</v>
      </c>
      <c r="AP32" s="531">
        <f t="shared" si="66"/>
        <v>0</v>
      </c>
      <c r="AQ32" s="531">
        <f t="shared" si="67"/>
        <v>0</v>
      </c>
      <c r="AR32" s="531">
        <f t="shared" si="38"/>
        <v>0</v>
      </c>
      <c r="AS32" s="550">
        <v>0</v>
      </c>
      <c r="AT32" s="530">
        <f t="shared" si="68"/>
        <v>0</v>
      </c>
      <c r="AU32" s="531">
        <f t="shared" si="69"/>
        <v>0</v>
      </c>
      <c r="AV32" s="531">
        <f t="shared" si="70"/>
        <v>0</v>
      </c>
      <c r="AW32" s="531">
        <f t="shared" si="71"/>
        <v>0</v>
      </c>
      <c r="AX32" s="531">
        <f t="shared" si="39"/>
        <v>0</v>
      </c>
      <c r="AY32" s="531">
        <f t="shared" si="40"/>
        <v>0</v>
      </c>
      <c r="AZ32" s="531">
        <f t="shared" si="40"/>
        <v>0</v>
      </c>
      <c r="BA32" s="531">
        <f t="shared" si="40"/>
        <v>0</v>
      </c>
      <c r="BB32" s="531">
        <f t="shared" si="40"/>
        <v>0</v>
      </c>
      <c r="BC32" s="531">
        <f t="shared" si="40"/>
        <v>0</v>
      </c>
      <c r="BD32" s="531">
        <f t="shared" si="40"/>
        <v>0</v>
      </c>
      <c r="BE32" s="531">
        <f t="shared" si="40"/>
        <v>0</v>
      </c>
      <c r="BF32" s="550">
        <v>0</v>
      </c>
      <c r="BG32" s="530">
        <f t="shared" si="41"/>
        <v>0</v>
      </c>
      <c r="BH32" s="531">
        <f t="shared" si="42"/>
        <v>0</v>
      </c>
      <c r="BI32" s="531">
        <f t="shared" si="42"/>
        <v>0</v>
      </c>
      <c r="BJ32" s="531">
        <f t="shared" si="42"/>
        <v>0</v>
      </c>
      <c r="BK32" s="531">
        <f t="shared" si="42"/>
        <v>0</v>
      </c>
      <c r="BL32" s="531">
        <f t="shared" si="42"/>
        <v>0</v>
      </c>
      <c r="BM32" s="531">
        <f t="shared" si="42"/>
        <v>0</v>
      </c>
      <c r="BN32" s="531">
        <f t="shared" si="42"/>
        <v>0</v>
      </c>
      <c r="BO32" s="531">
        <f t="shared" si="42"/>
        <v>0</v>
      </c>
      <c r="BP32" s="531">
        <f t="shared" si="42"/>
        <v>0</v>
      </c>
      <c r="BQ32" s="531">
        <f t="shared" si="42"/>
        <v>0</v>
      </c>
      <c r="BR32" s="531">
        <f t="shared" si="42"/>
        <v>0</v>
      </c>
      <c r="BS32" s="550">
        <v>0</v>
      </c>
    </row>
    <row r="33" spans="1:71" ht="15" customHeight="1">
      <c r="A33" s="527"/>
      <c r="B33" s="521" t="s">
        <v>64</v>
      </c>
      <c r="C33" s="529" t="s">
        <v>63</v>
      </c>
      <c r="D33" s="530">
        <v>0</v>
      </c>
      <c r="E33" s="531">
        <v>1092956.7299999997</v>
      </c>
      <c r="F33" s="531">
        <v>1114426.7</v>
      </c>
      <c r="G33" s="531">
        <v>1148168.3500000003</v>
      </c>
      <c r="H33" s="531">
        <v>1130963.8</v>
      </c>
      <c r="I33" s="531">
        <v>1127912.1200000001</v>
      </c>
      <c r="J33" s="531">
        <v>1123110.2200000002</v>
      </c>
      <c r="K33" s="531">
        <v>1144894.27</v>
      </c>
      <c r="L33" s="531">
        <v>1105969.73</v>
      </c>
      <c r="M33" s="531">
        <v>1148537.1500000004</v>
      </c>
      <c r="N33" s="531">
        <v>5617.8100000009872</v>
      </c>
      <c r="O33" s="531">
        <v>0</v>
      </c>
      <c r="P33" s="531">
        <f t="shared" si="36"/>
        <v>193948.11999999918</v>
      </c>
      <c r="Q33" s="550">
        <v>10336505</v>
      </c>
      <c r="R33" s="530">
        <v>0</v>
      </c>
      <c r="S33" s="531">
        <v>1252983</v>
      </c>
      <c r="T33" s="531">
        <v>1288118</v>
      </c>
      <c r="U33" s="531">
        <v>1291537</v>
      </c>
      <c r="V33" s="531">
        <v>1299545</v>
      </c>
      <c r="W33" s="531">
        <v>1288281</v>
      </c>
      <c r="X33" s="531">
        <v>1292964</v>
      </c>
      <c r="Y33" s="531">
        <v>1292796</v>
      </c>
      <c r="Z33" s="531">
        <v>1312773.96</v>
      </c>
      <c r="AA33" s="531">
        <v>1346294</v>
      </c>
      <c r="AB33" s="531">
        <v>1213105</v>
      </c>
      <c r="AC33" s="531">
        <v>-2334604</v>
      </c>
      <c r="AD33" s="531">
        <f t="shared" si="37"/>
        <v>-207286.96000000089</v>
      </c>
      <c r="AE33" s="550">
        <v>10336506</v>
      </c>
      <c r="AF33" s="530">
        <v>0</v>
      </c>
      <c r="AG33" s="531">
        <v>1300921</v>
      </c>
      <c r="AH33" s="531">
        <v>1281878</v>
      </c>
      <c r="AI33" s="531">
        <v>1300209.5899999999</v>
      </c>
      <c r="AJ33" s="531">
        <v>1251739.8400000003</v>
      </c>
      <c r="AK33" s="531">
        <v>1258048</v>
      </c>
      <c r="AL33" s="531">
        <v>1059972.8200000003</v>
      </c>
      <c r="AM33" s="531">
        <v>1237869</v>
      </c>
      <c r="AN33" s="531">
        <v>1238838</v>
      </c>
      <c r="AO33" s="531">
        <v>148280.44000000018</v>
      </c>
      <c r="AP33" s="531">
        <v>-1477104.8900000001</v>
      </c>
      <c r="AQ33" s="531">
        <v>1202398.3899999999</v>
      </c>
      <c r="AR33" s="531">
        <f t="shared" si="38"/>
        <v>533455.81000000052</v>
      </c>
      <c r="AS33" s="550">
        <v>10336506</v>
      </c>
      <c r="AT33" s="530">
        <v>0</v>
      </c>
      <c r="AU33" s="531">
        <v>1420113</v>
      </c>
      <c r="AV33" s="531">
        <v>1413731</v>
      </c>
      <c r="AW33" s="531">
        <v>2527440</v>
      </c>
      <c r="AX33" s="531">
        <f t="shared" si="39"/>
        <v>621902.75</v>
      </c>
      <c r="AY33" s="531">
        <f t="shared" si="40"/>
        <v>621902.75</v>
      </c>
      <c r="AZ33" s="531">
        <f t="shared" si="40"/>
        <v>621902.75</v>
      </c>
      <c r="BA33" s="531">
        <f t="shared" si="40"/>
        <v>621902.75</v>
      </c>
      <c r="BB33" s="531">
        <f t="shared" si="40"/>
        <v>621902.75</v>
      </c>
      <c r="BC33" s="531">
        <f t="shared" si="40"/>
        <v>621902.75</v>
      </c>
      <c r="BD33" s="531">
        <f t="shared" si="40"/>
        <v>621902.75</v>
      </c>
      <c r="BE33" s="531">
        <f t="shared" si="40"/>
        <v>621902.75</v>
      </c>
      <c r="BF33" s="550">
        <v>10336506</v>
      </c>
      <c r="BG33" s="530">
        <f t="shared" si="41"/>
        <v>861375.5</v>
      </c>
      <c r="BH33" s="531">
        <f t="shared" si="42"/>
        <v>861375.5</v>
      </c>
      <c r="BI33" s="531">
        <f t="shared" si="42"/>
        <v>861375.5</v>
      </c>
      <c r="BJ33" s="531">
        <f t="shared" si="42"/>
        <v>861375.5</v>
      </c>
      <c r="BK33" s="531">
        <f t="shared" si="42"/>
        <v>861375.5</v>
      </c>
      <c r="BL33" s="531">
        <f t="shared" si="42"/>
        <v>861375.5</v>
      </c>
      <c r="BM33" s="531">
        <f t="shared" si="42"/>
        <v>861375.5</v>
      </c>
      <c r="BN33" s="531">
        <f t="shared" si="42"/>
        <v>861375.5</v>
      </c>
      <c r="BO33" s="531">
        <f t="shared" si="42"/>
        <v>861375.5</v>
      </c>
      <c r="BP33" s="531">
        <f t="shared" si="42"/>
        <v>861375.5</v>
      </c>
      <c r="BQ33" s="531">
        <f t="shared" si="42"/>
        <v>861375.5</v>
      </c>
      <c r="BR33" s="531">
        <f t="shared" si="42"/>
        <v>861375.5</v>
      </c>
      <c r="BS33" s="550">
        <v>10336506</v>
      </c>
    </row>
    <row r="34" spans="1:71">
      <c r="A34" s="527"/>
      <c r="B34" s="521" t="s">
        <v>70</v>
      </c>
      <c r="C34" s="529" t="s">
        <v>69</v>
      </c>
      <c r="D34" s="530"/>
      <c r="E34" s="531"/>
      <c r="F34" s="531"/>
      <c r="G34" s="531"/>
      <c r="H34" s="531"/>
      <c r="I34" s="531"/>
      <c r="J34" s="531"/>
      <c r="K34" s="531"/>
      <c r="L34" s="531"/>
      <c r="M34" s="531"/>
      <c r="N34" s="531"/>
      <c r="O34" s="531"/>
      <c r="P34" s="531">
        <f t="shared" si="36"/>
        <v>0</v>
      </c>
      <c r="Q34" s="550">
        <v>0</v>
      </c>
      <c r="R34" s="530">
        <v>0</v>
      </c>
      <c r="S34" s="531">
        <f t="shared" si="47"/>
        <v>0</v>
      </c>
      <c r="T34" s="531">
        <f t="shared" si="48"/>
        <v>0</v>
      </c>
      <c r="U34" s="531">
        <f t="shared" si="72"/>
        <v>0</v>
      </c>
      <c r="V34" s="531">
        <f t="shared" si="49"/>
        <v>0</v>
      </c>
      <c r="W34" s="531">
        <f t="shared" si="50"/>
        <v>0</v>
      </c>
      <c r="X34" s="531">
        <f t="shared" si="51"/>
        <v>0</v>
      </c>
      <c r="Y34" s="531">
        <f t="shared" si="52"/>
        <v>0</v>
      </c>
      <c r="Z34" s="531">
        <v>0</v>
      </c>
      <c r="AA34" s="531">
        <f t="shared" si="53"/>
        <v>0</v>
      </c>
      <c r="AB34" s="531">
        <f t="shared" si="54"/>
        <v>0</v>
      </c>
      <c r="AC34" s="531">
        <f t="shared" si="55"/>
        <v>0</v>
      </c>
      <c r="AD34" s="531">
        <f t="shared" si="37"/>
        <v>0</v>
      </c>
      <c r="AE34" s="550">
        <v>0</v>
      </c>
      <c r="AF34" s="530">
        <f t="shared" si="56"/>
        <v>0</v>
      </c>
      <c r="AG34" s="531">
        <f t="shared" si="57"/>
        <v>0</v>
      </c>
      <c r="AH34" s="531">
        <f t="shared" si="58"/>
        <v>0</v>
      </c>
      <c r="AI34" s="531">
        <f t="shared" si="59"/>
        <v>0</v>
      </c>
      <c r="AJ34" s="531">
        <f t="shared" si="60"/>
        <v>0</v>
      </c>
      <c r="AK34" s="531">
        <f t="shared" si="61"/>
        <v>0</v>
      </c>
      <c r="AL34" s="531">
        <f t="shared" si="62"/>
        <v>0</v>
      </c>
      <c r="AM34" s="531">
        <f t="shared" si="63"/>
        <v>0</v>
      </c>
      <c r="AN34" s="531">
        <f t="shared" si="64"/>
        <v>0</v>
      </c>
      <c r="AO34" s="531">
        <f t="shared" si="65"/>
        <v>0</v>
      </c>
      <c r="AP34" s="531">
        <f t="shared" si="66"/>
        <v>0</v>
      </c>
      <c r="AQ34" s="531">
        <f t="shared" si="67"/>
        <v>0</v>
      </c>
      <c r="AR34" s="531">
        <f t="shared" si="38"/>
        <v>0</v>
      </c>
      <c r="AS34" s="550">
        <v>0</v>
      </c>
      <c r="AT34" s="530">
        <f t="shared" ref="AT34:AT35" si="73">BF34/12</f>
        <v>0</v>
      </c>
      <c r="AU34" s="531">
        <f t="shared" si="69"/>
        <v>0</v>
      </c>
      <c r="AV34" s="531">
        <f t="shared" si="70"/>
        <v>0</v>
      </c>
      <c r="AW34" s="531">
        <f t="shared" si="71"/>
        <v>0</v>
      </c>
      <c r="AX34" s="531">
        <f t="shared" si="39"/>
        <v>0</v>
      </c>
      <c r="AY34" s="531">
        <f t="shared" si="40"/>
        <v>0</v>
      </c>
      <c r="AZ34" s="531">
        <f t="shared" si="40"/>
        <v>0</v>
      </c>
      <c r="BA34" s="531">
        <f t="shared" si="40"/>
        <v>0</v>
      </c>
      <c r="BB34" s="531">
        <f t="shared" si="40"/>
        <v>0</v>
      </c>
      <c r="BC34" s="531">
        <f t="shared" si="40"/>
        <v>0</v>
      </c>
      <c r="BD34" s="531">
        <f t="shared" si="40"/>
        <v>0</v>
      </c>
      <c r="BE34" s="531">
        <f t="shared" si="40"/>
        <v>0</v>
      </c>
      <c r="BF34" s="550">
        <v>0</v>
      </c>
      <c r="BG34" s="530">
        <f t="shared" si="41"/>
        <v>0</v>
      </c>
      <c r="BH34" s="531">
        <f t="shared" si="42"/>
        <v>0</v>
      </c>
      <c r="BI34" s="531">
        <f t="shared" si="42"/>
        <v>0</v>
      </c>
      <c r="BJ34" s="531">
        <f t="shared" si="42"/>
        <v>0</v>
      </c>
      <c r="BK34" s="531">
        <f t="shared" si="42"/>
        <v>0</v>
      </c>
      <c r="BL34" s="531">
        <f t="shared" si="42"/>
        <v>0</v>
      </c>
      <c r="BM34" s="531">
        <f t="shared" si="42"/>
        <v>0</v>
      </c>
      <c r="BN34" s="531">
        <f t="shared" si="42"/>
        <v>0</v>
      </c>
      <c r="BO34" s="531">
        <f t="shared" si="42"/>
        <v>0</v>
      </c>
      <c r="BP34" s="531">
        <f t="shared" si="42"/>
        <v>0</v>
      </c>
      <c r="BQ34" s="531">
        <f t="shared" si="42"/>
        <v>0</v>
      </c>
      <c r="BR34" s="531">
        <f t="shared" si="42"/>
        <v>0</v>
      </c>
      <c r="BS34" s="550">
        <v>0</v>
      </c>
    </row>
    <row r="35" spans="1:71">
      <c r="A35" s="527"/>
      <c r="B35" s="521" t="s">
        <v>72</v>
      </c>
      <c r="C35" s="529" t="s">
        <v>71</v>
      </c>
      <c r="D35" s="530"/>
      <c r="E35" s="531"/>
      <c r="F35" s="531"/>
      <c r="G35" s="531"/>
      <c r="H35" s="531"/>
      <c r="I35" s="531"/>
      <c r="J35" s="531"/>
      <c r="K35" s="531"/>
      <c r="L35" s="531"/>
      <c r="M35" s="531"/>
      <c r="N35" s="531"/>
      <c r="O35" s="531"/>
      <c r="P35" s="531">
        <f t="shared" si="36"/>
        <v>0</v>
      </c>
      <c r="Q35" s="550">
        <v>0</v>
      </c>
      <c r="R35" s="530">
        <v>0</v>
      </c>
      <c r="S35" s="531">
        <f t="shared" si="47"/>
        <v>0</v>
      </c>
      <c r="T35" s="531">
        <f t="shared" si="48"/>
        <v>0</v>
      </c>
      <c r="U35" s="531">
        <f t="shared" si="72"/>
        <v>0</v>
      </c>
      <c r="V35" s="531">
        <f t="shared" si="49"/>
        <v>0</v>
      </c>
      <c r="W35" s="531">
        <f t="shared" si="50"/>
        <v>0</v>
      </c>
      <c r="X35" s="531">
        <f t="shared" si="51"/>
        <v>0</v>
      </c>
      <c r="Y35" s="531">
        <f t="shared" si="52"/>
        <v>0</v>
      </c>
      <c r="Z35" s="531">
        <v>0</v>
      </c>
      <c r="AA35" s="531">
        <f t="shared" si="53"/>
        <v>0</v>
      </c>
      <c r="AB35" s="531">
        <f t="shared" si="54"/>
        <v>0</v>
      </c>
      <c r="AC35" s="531">
        <f t="shared" si="55"/>
        <v>0</v>
      </c>
      <c r="AD35" s="531">
        <f t="shared" si="37"/>
        <v>0</v>
      </c>
      <c r="AE35" s="550">
        <v>0</v>
      </c>
      <c r="AF35" s="530">
        <f t="shared" si="56"/>
        <v>0</v>
      </c>
      <c r="AG35" s="531">
        <f t="shared" si="57"/>
        <v>0</v>
      </c>
      <c r="AH35" s="531">
        <f t="shared" si="58"/>
        <v>0</v>
      </c>
      <c r="AI35" s="531">
        <f t="shared" si="59"/>
        <v>0</v>
      </c>
      <c r="AJ35" s="531">
        <f t="shared" si="60"/>
        <v>0</v>
      </c>
      <c r="AK35" s="531">
        <f t="shared" si="61"/>
        <v>0</v>
      </c>
      <c r="AL35" s="531">
        <f t="shared" si="62"/>
        <v>0</v>
      </c>
      <c r="AM35" s="531">
        <f t="shared" si="63"/>
        <v>0</v>
      </c>
      <c r="AN35" s="531">
        <f t="shared" si="64"/>
        <v>0</v>
      </c>
      <c r="AO35" s="531">
        <f t="shared" si="65"/>
        <v>0</v>
      </c>
      <c r="AP35" s="531">
        <f t="shared" si="66"/>
        <v>0</v>
      </c>
      <c r="AQ35" s="531">
        <f t="shared" si="67"/>
        <v>0</v>
      </c>
      <c r="AR35" s="531">
        <f t="shared" si="38"/>
        <v>0</v>
      </c>
      <c r="AS35" s="550">
        <v>0</v>
      </c>
      <c r="AT35" s="530">
        <f t="shared" si="73"/>
        <v>0</v>
      </c>
      <c r="AU35" s="531">
        <f t="shared" si="69"/>
        <v>0</v>
      </c>
      <c r="AV35" s="531">
        <f t="shared" si="70"/>
        <v>0</v>
      </c>
      <c r="AW35" s="531">
        <f t="shared" si="71"/>
        <v>0</v>
      </c>
      <c r="AX35" s="531">
        <f t="shared" si="39"/>
        <v>0</v>
      </c>
      <c r="AY35" s="531">
        <f t="shared" si="40"/>
        <v>0</v>
      </c>
      <c r="AZ35" s="531">
        <f t="shared" si="40"/>
        <v>0</v>
      </c>
      <c r="BA35" s="531">
        <f t="shared" si="40"/>
        <v>0</v>
      </c>
      <c r="BB35" s="531">
        <f t="shared" si="40"/>
        <v>0</v>
      </c>
      <c r="BC35" s="531">
        <f t="shared" si="40"/>
        <v>0</v>
      </c>
      <c r="BD35" s="531">
        <f t="shared" si="40"/>
        <v>0</v>
      </c>
      <c r="BE35" s="531">
        <f t="shared" si="40"/>
        <v>0</v>
      </c>
      <c r="BF35" s="550">
        <v>0</v>
      </c>
      <c r="BG35" s="530">
        <f t="shared" si="41"/>
        <v>0</v>
      </c>
      <c r="BH35" s="531">
        <f t="shared" si="42"/>
        <v>0</v>
      </c>
      <c r="BI35" s="531">
        <f t="shared" si="42"/>
        <v>0</v>
      </c>
      <c r="BJ35" s="531">
        <f t="shared" si="42"/>
        <v>0</v>
      </c>
      <c r="BK35" s="531">
        <f t="shared" si="42"/>
        <v>0</v>
      </c>
      <c r="BL35" s="531">
        <f t="shared" si="42"/>
        <v>0</v>
      </c>
      <c r="BM35" s="531">
        <f t="shared" si="42"/>
        <v>0</v>
      </c>
      <c r="BN35" s="531">
        <f t="shared" si="42"/>
        <v>0</v>
      </c>
      <c r="BO35" s="531">
        <f t="shared" si="42"/>
        <v>0</v>
      </c>
      <c r="BP35" s="531">
        <f t="shared" si="42"/>
        <v>0</v>
      </c>
      <c r="BQ35" s="531">
        <f t="shared" si="42"/>
        <v>0</v>
      </c>
      <c r="BR35" s="531">
        <f t="shared" si="42"/>
        <v>0</v>
      </c>
      <c r="BS35" s="550">
        <v>0</v>
      </c>
    </row>
    <row r="36" spans="1:71">
      <c r="A36" s="527"/>
      <c r="B36" s="521" t="s">
        <v>74</v>
      </c>
      <c r="C36" s="529" t="s">
        <v>73</v>
      </c>
      <c r="D36" s="530">
        <v>4196.5400000000009</v>
      </c>
      <c r="E36" s="531">
        <v>4061.57</v>
      </c>
      <c r="F36" s="531">
        <v>4319.1000000000013</v>
      </c>
      <c r="G36" s="531">
        <v>4321.24</v>
      </c>
      <c r="H36" s="531">
        <v>4263.2400000000016</v>
      </c>
      <c r="I36" s="531">
        <v>4220.9599999999991</v>
      </c>
      <c r="J36" s="531">
        <v>4270.340000000002</v>
      </c>
      <c r="K36" s="531">
        <v>4590.79</v>
      </c>
      <c r="L36" s="531">
        <v>4852.3499999999985</v>
      </c>
      <c r="M36" s="531">
        <v>4380.1399999999994</v>
      </c>
      <c r="N36" s="531">
        <v>6302.8000000000065</v>
      </c>
      <c r="O36" s="531">
        <v>5004.34</v>
      </c>
      <c r="P36" s="531">
        <f t="shared" si="36"/>
        <v>1186.5899999999965</v>
      </c>
      <c r="Q36" s="550">
        <v>55970</v>
      </c>
      <c r="R36" s="530">
        <v>5633</v>
      </c>
      <c r="S36" s="531">
        <v>5231</v>
      </c>
      <c r="T36" s="531">
        <v>4984</v>
      </c>
      <c r="U36" s="531">
        <v>5388</v>
      </c>
      <c r="V36" s="531">
        <v>5514</v>
      </c>
      <c r="W36" s="531">
        <v>7477</v>
      </c>
      <c r="X36" s="531">
        <v>6001</v>
      </c>
      <c r="Y36" s="531">
        <v>6058</v>
      </c>
      <c r="Z36" s="531">
        <v>4644</v>
      </c>
      <c r="AA36" s="531">
        <v>6559</v>
      </c>
      <c r="AB36" s="531">
        <v>4466</v>
      </c>
      <c r="AC36" s="531">
        <v>5604</v>
      </c>
      <c r="AD36" s="531">
        <f t="shared" si="37"/>
        <v>3035</v>
      </c>
      <c r="AE36" s="550">
        <v>70594</v>
      </c>
      <c r="AF36" s="530">
        <v>5046</v>
      </c>
      <c r="AG36" s="531">
        <v>5110</v>
      </c>
      <c r="AH36" s="531">
        <v>5334</v>
      </c>
      <c r="AI36" s="531">
        <v>5008.1900000000005</v>
      </c>
      <c r="AJ36" s="531">
        <v>9023</v>
      </c>
      <c r="AK36" s="531">
        <v>5043</v>
      </c>
      <c r="AL36" s="531">
        <v>16651</v>
      </c>
      <c r="AM36" s="531">
        <v>4914</v>
      </c>
      <c r="AN36" s="531">
        <v>8137</v>
      </c>
      <c r="AO36" s="531">
        <v>5225</v>
      </c>
      <c r="AP36" s="531">
        <v>-9216</v>
      </c>
      <c r="AQ36" s="531">
        <v>4791.76</v>
      </c>
      <c r="AR36" s="531">
        <f t="shared" si="38"/>
        <v>-338.95000000000437</v>
      </c>
      <c r="AS36" s="550">
        <v>64728</v>
      </c>
      <c r="AT36" s="530">
        <v>8207</v>
      </c>
      <c r="AU36" s="531">
        <v>10712</v>
      </c>
      <c r="AV36" s="531">
        <v>11402</v>
      </c>
      <c r="AW36" s="531">
        <v>10822</v>
      </c>
      <c r="AX36" s="531">
        <f t="shared" si="39"/>
        <v>12502.75</v>
      </c>
      <c r="AY36" s="531">
        <f t="shared" si="40"/>
        <v>12502.75</v>
      </c>
      <c r="AZ36" s="531">
        <f t="shared" si="40"/>
        <v>12502.75</v>
      </c>
      <c r="BA36" s="531">
        <f t="shared" si="40"/>
        <v>12502.75</v>
      </c>
      <c r="BB36" s="531">
        <f t="shared" si="40"/>
        <v>12502.75</v>
      </c>
      <c r="BC36" s="531">
        <f t="shared" si="40"/>
        <v>12502.75</v>
      </c>
      <c r="BD36" s="531">
        <f t="shared" si="40"/>
        <v>12502.75</v>
      </c>
      <c r="BE36" s="531">
        <f t="shared" si="40"/>
        <v>12502.75</v>
      </c>
      <c r="BF36" s="550">
        <v>141165</v>
      </c>
      <c r="BG36" s="530">
        <f t="shared" si="41"/>
        <v>6207.25</v>
      </c>
      <c r="BH36" s="531">
        <f t="shared" si="42"/>
        <v>6207.25</v>
      </c>
      <c r="BI36" s="531">
        <f t="shared" si="42"/>
        <v>6207.25</v>
      </c>
      <c r="BJ36" s="531">
        <f t="shared" si="42"/>
        <v>6207.25</v>
      </c>
      <c r="BK36" s="531">
        <f t="shared" si="42"/>
        <v>6207.25</v>
      </c>
      <c r="BL36" s="531">
        <f t="shared" si="42"/>
        <v>6207.25</v>
      </c>
      <c r="BM36" s="531">
        <f t="shared" si="42"/>
        <v>6207.25</v>
      </c>
      <c r="BN36" s="531">
        <f t="shared" si="42"/>
        <v>6207.25</v>
      </c>
      <c r="BO36" s="531">
        <f t="shared" si="42"/>
        <v>6207.25</v>
      </c>
      <c r="BP36" s="531">
        <f t="shared" si="42"/>
        <v>6207.25</v>
      </c>
      <c r="BQ36" s="531">
        <f t="shared" si="42"/>
        <v>6207.25</v>
      </c>
      <c r="BR36" s="531">
        <f t="shared" si="42"/>
        <v>6207.25</v>
      </c>
      <c r="BS36" s="550">
        <v>74487</v>
      </c>
    </row>
    <row r="37" spans="1:71">
      <c r="A37" s="527"/>
      <c r="B37" s="521" t="s">
        <v>132</v>
      </c>
      <c r="C37" s="529" t="s">
        <v>342</v>
      </c>
      <c r="D37" s="530"/>
      <c r="E37" s="531"/>
      <c r="F37" s="531"/>
      <c r="G37" s="531"/>
      <c r="H37" s="531"/>
      <c r="I37" s="531"/>
      <c r="J37" s="531"/>
      <c r="K37" s="531"/>
      <c r="L37" s="531"/>
      <c r="M37" s="531"/>
      <c r="N37" s="531"/>
      <c r="O37" s="531"/>
      <c r="P37" s="531">
        <f t="shared" si="36"/>
        <v>0</v>
      </c>
      <c r="Q37" s="550">
        <v>0</v>
      </c>
      <c r="R37" s="530">
        <v>0</v>
      </c>
      <c r="S37" s="531">
        <f t="shared" si="47"/>
        <v>0</v>
      </c>
      <c r="T37" s="531">
        <f t="shared" si="48"/>
        <v>0</v>
      </c>
      <c r="U37" s="531">
        <f t="shared" si="72"/>
        <v>0</v>
      </c>
      <c r="V37" s="531">
        <f t="shared" si="49"/>
        <v>0</v>
      </c>
      <c r="W37" s="531">
        <f t="shared" si="50"/>
        <v>0</v>
      </c>
      <c r="X37" s="531">
        <f t="shared" si="51"/>
        <v>0</v>
      </c>
      <c r="Y37" s="531">
        <f t="shared" si="52"/>
        <v>0</v>
      </c>
      <c r="Z37" s="531">
        <v>0</v>
      </c>
      <c r="AA37" s="531">
        <f t="shared" si="53"/>
        <v>0</v>
      </c>
      <c r="AB37" s="531">
        <f t="shared" si="54"/>
        <v>0</v>
      </c>
      <c r="AC37" s="531">
        <f t="shared" si="55"/>
        <v>0</v>
      </c>
      <c r="AD37" s="531">
        <f t="shared" si="37"/>
        <v>0</v>
      </c>
      <c r="AE37" s="550">
        <v>0</v>
      </c>
      <c r="AF37" s="530">
        <f t="shared" si="56"/>
        <v>0</v>
      </c>
      <c r="AG37" s="531">
        <f t="shared" si="57"/>
        <v>0</v>
      </c>
      <c r="AH37" s="531">
        <f t="shared" si="58"/>
        <v>0</v>
      </c>
      <c r="AI37" s="531">
        <f t="shared" si="59"/>
        <v>0</v>
      </c>
      <c r="AJ37" s="531">
        <f t="shared" si="60"/>
        <v>0</v>
      </c>
      <c r="AK37" s="531">
        <f t="shared" si="61"/>
        <v>0</v>
      </c>
      <c r="AL37" s="531">
        <f t="shared" si="62"/>
        <v>0</v>
      </c>
      <c r="AM37" s="531">
        <f t="shared" si="63"/>
        <v>0</v>
      </c>
      <c r="AN37" s="531">
        <f t="shared" si="64"/>
        <v>0</v>
      </c>
      <c r="AO37" s="531">
        <f t="shared" si="65"/>
        <v>0</v>
      </c>
      <c r="AP37" s="531">
        <f t="shared" si="66"/>
        <v>0</v>
      </c>
      <c r="AQ37" s="531">
        <f t="shared" si="67"/>
        <v>0</v>
      </c>
      <c r="AR37" s="531">
        <f t="shared" si="38"/>
        <v>0</v>
      </c>
      <c r="AS37" s="550">
        <v>0</v>
      </c>
      <c r="AT37" s="530">
        <f t="shared" ref="AT37:AT40" si="74">BF37/12</f>
        <v>0</v>
      </c>
      <c r="AU37" s="531">
        <f t="shared" si="69"/>
        <v>0</v>
      </c>
      <c r="AV37" s="531">
        <f t="shared" si="70"/>
        <v>0</v>
      </c>
      <c r="AW37" s="531">
        <f t="shared" si="71"/>
        <v>0</v>
      </c>
      <c r="AX37" s="531">
        <f t="shared" si="39"/>
        <v>0</v>
      </c>
      <c r="AY37" s="531">
        <f t="shared" si="40"/>
        <v>0</v>
      </c>
      <c r="AZ37" s="531">
        <f t="shared" si="40"/>
        <v>0</v>
      </c>
      <c r="BA37" s="531">
        <f t="shared" si="40"/>
        <v>0</v>
      </c>
      <c r="BB37" s="531">
        <f t="shared" si="40"/>
        <v>0</v>
      </c>
      <c r="BC37" s="531">
        <f t="shared" si="40"/>
        <v>0</v>
      </c>
      <c r="BD37" s="531">
        <f t="shared" si="40"/>
        <v>0</v>
      </c>
      <c r="BE37" s="531">
        <f t="shared" si="40"/>
        <v>0</v>
      </c>
      <c r="BF37" s="550">
        <v>0</v>
      </c>
      <c r="BG37" s="530">
        <f t="shared" si="41"/>
        <v>0</v>
      </c>
      <c r="BH37" s="531">
        <f t="shared" si="42"/>
        <v>0</v>
      </c>
      <c r="BI37" s="531">
        <f t="shared" si="42"/>
        <v>0</v>
      </c>
      <c r="BJ37" s="531">
        <f t="shared" si="42"/>
        <v>0</v>
      </c>
      <c r="BK37" s="531">
        <f t="shared" si="42"/>
        <v>0</v>
      </c>
      <c r="BL37" s="531">
        <f t="shared" si="42"/>
        <v>0</v>
      </c>
      <c r="BM37" s="531">
        <f t="shared" si="42"/>
        <v>0</v>
      </c>
      <c r="BN37" s="531">
        <f t="shared" si="42"/>
        <v>0</v>
      </c>
      <c r="BO37" s="531">
        <f t="shared" si="42"/>
        <v>0</v>
      </c>
      <c r="BP37" s="531">
        <f t="shared" si="42"/>
        <v>0</v>
      </c>
      <c r="BQ37" s="531">
        <f t="shared" si="42"/>
        <v>0</v>
      </c>
      <c r="BR37" s="531">
        <f t="shared" si="42"/>
        <v>0</v>
      </c>
      <c r="BS37" s="550">
        <v>0</v>
      </c>
    </row>
    <row r="38" spans="1:71">
      <c r="A38" s="527"/>
      <c r="B38" s="521" t="s">
        <v>365</v>
      </c>
      <c r="C38" s="529" t="s">
        <v>364</v>
      </c>
      <c r="D38" s="530"/>
      <c r="E38" s="531"/>
      <c r="F38" s="531"/>
      <c r="G38" s="531"/>
      <c r="H38" s="531"/>
      <c r="I38" s="531"/>
      <c r="J38" s="531"/>
      <c r="K38" s="531"/>
      <c r="L38" s="531"/>
      <c r="M38" s="531"/>
      <c r="N38" s="531"/>
      <c r="O38" s="531"/>
      <c r="P38" s="531">
        <f t="shared" si="36"/>
        <v>0</v>
      </c>
      <c r="Q38" s="550">
        <v>0</v>
      </c>
      <c r="R38" s="530">
        <v>0</v>
      </c>
      <c r="S38" s="531">
        <f t="shared" si="47"/>
        <v>0</v>
      </c>
      <c r="T38" s="531">
        <f t="shared" si="48"/>
        <v>0</v>
      </c>
      <c r="U38" s="531">
        <f t="shared" si="72"/>
        <v>0</v>
      </c>
      <c r="V38" s="531">
        <f t="shared" si="49"/>
        <v>0</v>
      </c>
      <c r="W38" s="531">
        <f t="shared" si="50"/>
        <v>0</v>
      </c>
      <c r="X38" s="531">
        <f t="shared" si="51"/>
        <v>0</v>
      </c>
      <c r="Y38" s="531">
        <f t="shared" si="52"/>
        <v>0</v>
      </c>
      <c r="Z38" s="531">
        <v>0</v>
      </c>
      <c r="AA38" s="531">
        <f t="shared" si="53"/>
        <v>0</v>
      </c>
      <c r="AB38" s="531">
        <f t="shared" si="54"/>
        <v>0</v>
      </c>
      <c r="AC38" s="531">
        <f t="shared" si="55"/>
        <v>0</v>
      </c>
      <c r="AD38" s="531">
        <f t="shared" si="37"/>
        <v>0</v>
      </c>
      <c r="AE38" s="550">
        <v>0</v>
      </c>
      <c r="AF38" s="530">
        <f t="shared" si="56"/>
        <v>0</v>
      </c>
      <c r="AG38" s="531">
        <f t="shared" si="57"/>
        <v>0</v>
      </c>
      <c r="AH38" s="531">
        <f t="shared" si="58"/>
        <v>0</v>
      </c>
      <c r="AI38" s="531">
        <f t="shared" si="59"/>
        <v>0</v>
      </c>
      <c r="AJ38" s="531">
        <f t="shared" si="60"/>
        <v>0</v>
      </c>
      <c r="AK38" s="531">
        <f t="shared" si="61"/>
        <v>0</v>
      </c>
      <c r="AL38" s="531">
        <f t="shared" si="62"/>
        <v>0</v>
      </c>
      <c r="AM38" s="531">
        <f t="shared" si="63"/>
        <v>0</v>
      </c>
      <c r="AN38" s="531">
        <f t="shared" si="64"/>
        <v>0</v>
      </c>
      <c r="AO38" s="531">
        <f t="shared" si="65"/>
        <v>0</v>
      </c>
      <c r="AP38" s="531">
        <f t="shared" si="66"/>
        <v>0</v>
      </c>
      <c r="AQ38" s="531">
        <f t="shared" si="67"/>
        <v>0</v>
      </c>
      <c r="AR38" s="531">
        <f t="shared" si="38"/>
        <v>0</v>
      </c>
      <c r="AS38" s="550">
        <v>0</v>
      </c>
      <c r="AT38" s="530">
        <f t="shared" si="74"/>
        <v>0</v>
      </c>
      <c r="AU38" s="531">
        <f t="shared" si="69"/>
        <v>0</v>
      </c>
      <c r="AV38" s="531">
        <f t="shared" si="70"/>
        <v>0</v>
      </c>
      <c r="AW38" s="531">
        <f t="shared" si="71"/>
        <v>0</v>
      </c>
      <c r="AX38" s="531">
        <f t="shared" si="39"/>
        <v>0</v>
      </c>
      <c r="AY38" s="531">
        <f t="shared" si="40"/>
        <v>0</v>
      </c>
      <c r="AZ38" s="531">
        <f t="shared" si="40"/>
        <v>0</v>
      </c>
      <c r="BA38" s="531">
        <f t="shared" si="40"/>
        <v>0</v>
      </c>
      <c r="BB38" s="531">
        <f t="shared" si="40"/>
        <v>0</v>
      </c>
      <c r="BC38" s="531">
        <f t="shared" si="40"/>
        <v>0</v>
      </c>
      <c r="BD38" s="531">
        <f t="shared" si="40"/>
        <v>0</v>
      </c>
      <c r="BE38" s="531">
        <f t="shared" si="40"/>
        <v>0</v>
      </c>
      <c r="BF38" s="550">
        <v>0</v>
      </c>
      <c r="BG38" s="530">
        <f t="shared" si="41"/>
        <v>0</v>
      </c>
      <c r="BH38" s="531">
        <f t="shared" si="42"/>
        <v>0</v>
      </c>
      <c r="BI38" s="531">
        <f t="shared" si="42"/>
        <v>0</v>
      </c>
      <c r="BJ38" s="531">
        <f t="shared" si="42"/>
        <v>0</v>
      </c>
      <c r="BK38" s="531">
        <f t="shared" si="42"/>
        <v>0</v>
      </c>
      <c r="BL38" s="531">
        <f t="shared" si="42"/>
        <v>0</v>
      </c>
      <c r="BM38" s="531">
        <f t="shared" si="42"/>
        <v>0</v>
      </c>
      <c r="BN38" s="531">
        <f t="shared" si="42"/>
        <v>0</v>
      </c>
      <c r="BO38" s="531">
        <f t="shared" si="42"/>
        <v>0</v>
      </c>
      <c r="BP38" s="531">
        <f t="shared" si="42"/>
        <v>0</v>
      </c>
      <c r="BQ38" s="531">
        <f t="shared" si="42"/>
        <v>0</v>
      </c>
      <c r="BR38" s="531">
        <f t="shared" si="42"/>
        <v>0</v>
      </c>
      <c r="BS38" s="550">
        <v>0</v>
      </c>
    </row>
    <row r="39" spans="1:71">
      <c r="A39" s="527"/>
      <c r="B39" s="521" t="s">
        <v>78</v>
      </c>
      <c r="C39" s="529" t="s">
        <v>343</v>
      </c>
      <c r="D39" s="530"/>
      <c r="E39" s="531"/>
      <c r="F39" s="531"/>
      <c r="G39" s="531"/>
      <c r="H39" s="531"/>
      <c r="I39" s="531"/>
      <c r="J39" s="531"/>
      <c r="K39" s="531"/>
      <c r="L39" s="531"/>
      <c r="M39" s="531"/>
      <c r="N39" s="531"/>
      <c r="O39" s="531"/>
      <c r="P39" s="531">
        <f t="shared" si="36"/>
        <v>0</v>
      </c>
      <c r="Q39" s="550">
        <v>0</v>
      </c>
      <c r="R39" s="530">
        <v>0</v>
      </c>
      <c r="S39" s="531">
        <f t="shared" si="47"/>
        <v>0</v>
      </c>
      <c r="T39" s="531">
        <f t="shared" si="48"/>
        <v>0</v>
      </c>
      <c r="U39" s="531">
        <f t="shared" si="72"/>
        <v>0</v>
      </c>
      <c r="V39" s="531">
        <f t="shared" si="49"/>
        <v>0</v>
      </c>
      <c r="W39" s="531">
        <f t="shared" si="50"/>
        <v>0</v>
      </c>
      <c r="X39" s="531">
        <f t="shared" si="51"/>
        <v>0</v>
      </c>
      <c r="Y39" s="531">
        <f t="shared" si="52"/>
        <v>0</v>
      </c>
      <c r="Z39" s="531">
        <v>0</v>
      </c>
      <c r="AA39" s="531">
        <f t="shared" si="53"/>
        <v>0</v>
      </c>
      <c r="AB39" s="531">
        <f t="shared" si="54"/>
        <v>0</v>
      </c>
      <c r="AC39" s="531">
        <f t="shared" si="55"/>
        <v>0</v>
      </c>
      <c r="AD39" s="531">
        <f t="shared" si="37"/>
        <v>0</v>
      </c>
      <c r="AE39" s="550">
        <v>0</v>
      </c>
      <c r="AF39" s="530">
        <f t="shared" si="56"/>
        <v>0</v>
      </c>
      <c r="AG39" s="531">
        <f t="shared" si="57"/>
        <v>0</v>
      </c>
      <c r="AH39" s="531">
        <f t="shared" si="58"/>
        <v>0</v>
      </c>
      <c r="AI39" s="531">
        <f t="shared" si="59"/>
        <v>0</v>
      </c>
      <c r="AJ39" s="531">
        <f t="shared" si="60"/>
        <v>0</v>
      </c>
      <c r="AK39" s="531">
        <f t="shared" si="61"/>
        <v>0</v>
      </c>
      <c r="AL39" s="531">
        <f t="shared" si="62"/>
        <v>0</v>
      </c>
      <c r="AM39" s="531">
        <f t="shared" si="63"/>
        <v>0</v>
      </c>
      <c r="AN39" s="531">
        <f t="shared" si="64"/>
        <v>0</v>
      </c>
      <c r="AO39" s="531">
        <f t="shared" si="65"/>
        <v>0</v>
      </c>
      <c r="AP39" s="531">
        <f t="shared" si="66"/>
        <v>0</v>
      </c>
      <c r="AQ39" s="531">
        <f t="shared" si="67"/>
        <v>0</v>
      </c>
      <c r="AR39" s="531">
        <f t="shared" si="38"/>
        <v>0</v>
      </c>
      <c r="AS39" s="550">
        <v>0</v>
      </c>
      <c r="AT39" s="530">
        <f t="shared" si="74"/>
        <v>0</v>
      </c>
      <c r="AU39" s="531">
        <f t="shared" si="69"/>
        <v>0</v>
      </c>
      <c r="AV39" s="531">
        <f t="shared" si="70"/>
        <v>0</v>
      </c>
      <c r="AW39" s="531">
        <f t="shared" si="71"/>
        <v>0</v>
      </c>
      <c r="AX39" s="531">
        <f t="shared" si="39"/>
        <v>0</v>
      </c>
      <c r="AY39" s="531">
        <f t="shared" si="40"/>
        <v>0</v>
      </c>
      <c r="AZ39" s="531">
        <f t="shared" si="40"/>
        <v>0</v>
      </c>
      <c r="BA39" s="531">
        <f t="shared" si="40"/>
        <v>0</v>
      </c>
      <c r="BB39" s="531">
        <f t="shared" si="40"/>
        <v>0</v>
      </c>
      <c r="BC39" s="531">
        <f t="shared" si="40"/>
        <v>0</v>
      </c>
      <c r="BD39" s="531">
        <f t="shared" si="40"/>
        <v>0</v>
      </c>
      <c r="BE39" s="531">
        <f t="shared" si="40"/>
        <v>0</v>
      </c>
      <c r="BF39" s="550">
        <v>0</v>
      </c>
      <c r="BG39" s="530">
        <f t="shared" si="41"/>
        <v>0</v>
      </c>
      <c r="BH39" s="531">
        <f t="shared" si="42"/>
        <v>0</v>
      </c>
      <c r="BI39" s="531">
        <f t="shared" si="42"/>
        <v>0</v>
      </c>
      <c r="BJ39" s="531">
        <f t="shared" si="42"/>
        <v>0</v>
      </c>
      <c r="BK39" s="531">
        <f t="shared" si="42"/>
        <v>0</v>
      </c>
      <c r="BL39" s="531">
        <f t="shared" si="42"/>
        <v>0</v>
      </c>
      <c r="BM39" s="531">
        <f t="shared" si="42"/>
        <v>0</v>
      </c>
      <c r="BN39" s="531">
        <f t="shared" si="42"/>
        <v>0</v>
      </c>
      <c r="BO39" s="531">
        <f t="shared" si="42"/>
        <v>0</v>
      </c>
      <c r="BP39" s="531">
        <f t="shared" si="42"/>
        <v>0</v>
      </c>
      <c r="BQ39" s="531">
        <f t="shared" si="42"/>
        <v>0</v>
      </c>
      <c r="BR39" s="531">
        <f t="shared" si="42"/>
        <v>0</v>
      </c>
      <c r="BS39" s="550">
        <v>0</v>
      </c>
    </row>
    <row r="40" spans="1:71">
      <c r="A40" s="527"/>
      <c r="B40" s="558">
        <v>93.575000000000003</v>
      </c>
      <c r="C40" s="529" t="s">
        <v>66</v>
      </c>
      <c r="D40" s="530">
        <v>0</v>
      </c>
      <c r="E40" s="531">
        <v>7786.4599999999991</v>
      </c>
      <c r="F40" s="531">
        <v>7939.46</v>
      </c>
      <c r="G40" s="531">
        <v>8179.7100000000009</v>
      </c>
      <c r="H40" s="531">
        <v>8057.22</v>
      </c>
      <c r="I40" s="531">
        <v>46.81</v>
      </c>
      <c r="J40" s="531">
        <v>0</v>
      </c>
      <c r="K40" s="531">
        <v>0</v>
      </c>
      <c r="L40" s="531">
        <v>0</v>
      </c>
      <c r="M40" s="531">
        <v>0</v>
      </c>
      <c r="N40" s="531">
        <v>-23905.79</v>
      </c>
      <c r="O40" s="531">
        <v>0</v>
      </c>
      <c r="P40" s="531">
        <f t="shared" si="36"/>
        <v>-8103.869999999999</v>
      </c>
      <c r="Q40" s="550">
        <v>0</v>
      </c>
      <c r="R40" s="530">
        <v>0</v>
      </c>
      <c r="S40" s="531">
        <f t="shared" si="47"/>
        <v>0</v>
      </c>
      <c r="T40" s="531">
        <f t="shared" si="48"/>
        <v>0</v>
      </c>
      <c r="U40" s="531">
        <f t="shared" si="72"/>
        <v>0</v>
      </c>
      <c r="V40" s="531">
        <f t="shared" si="49"/>
        <v>0</v>
      </c>
      <c r="W40" s="531">
        <f t="shared" si="50"/>
        <v>0</v>
      </c>
      <c r="X40" s="531">
        <f t="shared" si="51"/>
        <v>0</v>
      </c>
      <c r="Y40" s="531">
        <f t="shared" si="52"/>
        <v>0</v>
      </c>
      <c r="Z40" s="531">
        <v>0</v>
      </c>
      <c r="AA40" s="531">
        <f t="shared" si="53"/>
        <v>0</v>
      </c>
      <c r="AB40" s="531">
        <f t="shared" si="54"/>
        <v>0</v>
      </c>
      <c r="AC40" s="531">
        <f t="shared" si="55"/>
        <v>0</v>
      </c>
      <c r="AD40" s="531">
        <f t="shared" si="37"/>
        <v>0</v>
      </c>
      <c r="AE40" s="550">
        <v>0</v>
      </c>
      <c r="AF40" s="530">
        <f t="shared" si="56"/>
        <v>0</v>
      </c>
      <c r="AG40" s="531">
        <f t="shared" si="57"/>
        <v>0</v>
      </c>
      <c r="AH40" s="531">
        <f t="shared" si="58"/>
        <v>0</v>
      </c>
      <c r="AI40" s="531">
        <f t="shared" si="59"/>
        <v>0</v>
      </c>
      <c r="AJ40" s="531">
        <f t="shared" si="60"/>
        <v>0</v>
      </c>
      <c r="AK40" s="531">
        <f t="shared" si="61"/>
        <v>0</v>
      </c>
      <c r="AL40" s="531">
        <f t="shared" si="62"/>
        <v>0</v>
      </c>
      <c r="AM40" s="531">
        <f t="shared" si="63"/>
        <v>0</v>
      </c>
      <c r="AN40" s="531">
        <f t="shared" si="64"/>
        <v>0</v>
      </c>
      <c r="AO40" s="531">
        <f t="shared" si="65"/>
        <v>0</v>
      </c>
      <c r="AP40" s="531">
        <f t="shared" si="66"/>
        <v>0</v>
      </c>
      <c r="AQ40" s="531">
        <f t="shared" si="67"/>
        <v>0</v>
      </c>
      <c r="AR40" s="531">
        <f t="shared" si="38"/>
        <v>0</v>
      </c>
      <c r="AS40" s="550">
        <v>0</v>
      </c>
      <c r="AT40" s="530">
        <f t="shared" si="74"/>
        <v>0</v>
      </c>
      <c r="AU40" s="531">
        <f t="shared" si="69"/>
        <v>0</v>
      </c>
      <c r="AV40" s="531">
        <f t="shared" si="70"/>
        <v>0</v>
      </c>
      <c r="AW40" s="531">
        <f t="shared" si="71"/>
        <v>0</v>
      </c>
      <c r="AX40" s="531">
        <f t="shared" si="39"/>
        <v>0</v>
      </c>
      <c r="AY40" s="531">
        <f t="shared" si="40"/>
        <v>0</v>
      </c>
      <c r="AZ40" s="531">
        <f t="shared" si="40"/>
        <v>0</v>
      </c>
      <c r="BA40" s="531">
        <f t="shared" si="40"/>
        <v>0</v>
      </c>
      <c r="BB40" s="531">
        <f t="shared" si="40"/>
        <v>0</v>
      </c>
      <c r="BC40" s="531">
        <f t="shared" si="40"/>
        <v>0</v>
      </c>
      <c r="BD40" s="531">
        <f t="shared" si="40"/>
        <v>0</v>
      </c>
      <c r="BE40" s="531">
        <f t="shared" si="40"/>
        <v>0</v>
      </c>
      <c r="BF40" s="550">
        <v>0</v>
      </c>
      <c r="BG40" s="530">
        <f t="shared" si="41"/>
        <v>0</v>
      </c>
      <c r="BH40" s="531">
        <f t="shared" si="42"/>
        <v>0</v>
      </c>
      <c r="BI40" s="531">
        <f t="shared" si="42"/>
        <v>0</v>
      </c>
      <c r="BJ40" s="531">
        <f t="shared" si="42"/>
        <v>0</v>
      </c>
      <c r="BK40" s="531">
        <f t="shared" si="42"/>
        <v>0</v>
      </c>
      <c r="BL40" s="531">
        <f t="shared" si="42"/>
        <v>0</v>
      </c>
      <c r="BM40" s="531">
        <f t="shared" si="42"/>
        <v>0</v>
      </c>
      <c r="BN40" s="531">
        <f t="shared" si="42"/>
        <v>0</v>
      </c>
      <c r="BO40" s="531">
        <f t="shared" si="42"/>
        <v>0</v>
      </c>
      <c r="BP40" s="531">
        <f t="shared" si="42"/>
        <v>0</v>
      </c>
      <c r="BQ40" s="531">
        <f t="shared" si="42"/>
        <v>0</v>
      </c>
      <c r="BR40" s="531">
        <f t="shared" si="42"/>
        <v>0</v>
      </c>
      <c r="BS40" s="550">
        <v>0</v>
      </c>
    </row>
    <row r="41" spans="1:71">
      <c r="A41" s="527"/>
      <c r="B41" s="558">
        <v>93.667000000000002</v>
      </c>
      <c r="C41" s="529" t="s">
        <v>81</v>
      </c>
      <c r="D41" s="530">
        <v>0</v>
      </c>
      <c r="E41" s="531">
        <v>359935.8299999999</v>
      </c>
      <c r="F41" s="531">
        <v>367006.38999999996</v>
      </c>
      <c r="G41" s="531">
        <v>378118.20000000007</v>
      </c>
      <c r="H41" s="531">
        <v>372452.4</v>
      </c>
      <c r="I41" s="531">
        <v>371447.59</v>
      </c>
      <c r="J41" s="531">
        <v>369866.11999999994</v>
      </c>
      <c r="K41" s="531">
        <v>377039.95000000007</v>
      </c>
      <c r="L41" s="531">
        <v>2315.84</v>
      </c>
      <c r="M41" s="531">
        <v>0</v>
      </c>
      <c r="N41" s="531">
        <v>24116.920000000042</v>
      </c>
      <c r="O41" s="531">
        <v>0</v>
      </c>
      <c r="P41" s="531">
        <f t="shared" si="36"/>
        <v>-375435.23999999976</v>
      </c>
      <c r="Q41" s="550">
        <v>2246864</v>
      </c>
      <c r="R41" s="530">
        <v>0</v>
      </c>
      <c r="S41" s="531">
        <v>421089</v>
      </c>
      <c r="T41" s="531">
        <v>432896</v>
      </c>
      <c r="U41" s="531">
        <v>434045</v>
      </c>
      <c r="V41" s="531">
        <v>436736</v>
      </c>
      <c r="W41" s="531">
        <v>1342</v>
      </c>
      <c r="X41" s="531">
        <v>45</v>
      </c>
      <c r="Y41" s="531">
        <v>0</v>
      </c>
      <c r="Z41" s="531">
        <v>0</v>
      </c>
      <c r="AA41" s="531">
        <v>0</v>
      </c>
      <c r="AB41" s="531">
        <v>113536</v>
      </c>
      <c r="AC41" s="531">
        <v>0</v>
      </c>
      <c r="AD41" s="531">
        <f t="shared" si="37"/>
        <v>413675</v>
      </c>
      <c r="AE41" s="550">
        <v>2253364</v>
      </c>
      <c r="AF41" s="530">
        <v>0</v>
      </c>
      <c r="AG41" s="531">
        <v>485473</v>
      </c>
      <c r="AH41" s="531">
        <v>478366</v>
      </c>
      <c r="AI41" s="531">
        <v>485206.85</v>
      </c>
      <c r="AJ41" s="531">
        <v>467119.24000000005</v>
      </c>
      <c r="AK41" s="531">
        <v>469473</v>
      </c>
      <c r="AL41" s="531">
        <v>606906.2799999998</v>
      </c>
      <c r="AM41" s="531">
        <v>-3747</v>
      </c>
      <c r="AN41" s="531">
        <v>-1044928</v>
      </c>
      <c r="AO41" s="531">
        <v>-974</v>
      </c>
      <c r="AP41" s="531">
        <v>-1408322.83</v>
      </c>
      <c r="AQ41" s="531">
        <v>-6991.58</v>
      </c>
      <c r="AR41" s="531">
        <f t="shared" si="38"/>
        <v>1725783.0400000005</v>
      </c>
      <c r="AS41" s="550">
        <v>2253364</v>
      </c>
      <c r="AT41" s="530">
        <v>0</v>
      </c>
      <c r="AU41" s="531">
        <v>611361</v>
      </c>
      <c r="AV41" s="531">
        <v>608613</v>
      </c>
      <c r="AW41" s="531">
        <v>603965</v>
      </c>
      <c r="AX41" s="531">
        <f t="shared" si="39"/>
        <v>53678.125</v>
      </c>
      <c r="AY41" s="531">
        <f t="shared" si="40"/>
        <v>53678.125</v>
      </c>
      <c r="AZ41" s="531">
        <f t="shared" si="40"/>
        <v>53678.125</v>
      </c>
      <c r="BA41" s="531">
        <f t="shared" si="40"/>
        <v>53678.125</v>
      </c>
      <c r="BB41" s="531">
        <f t="shared" si="40"/>
        <v>53678.125</v>
      </c>
      <c r="BC41" s="531">
        <f t="shared" si="40"/>
        <v>53678.125</v>
      </c>
      <c r="BD41" s="531">
        <f t="shared" si="40"/>
        <v>53678.125</v>
      </c>
      <c r="BE41" s="531">
        <f t="shared" si="40"/>
        <v>53678.125</v>
      </c>
      <c r="BF41" s="550">
        <v>2253364</v>
      </c>
      <c r="BG41" s="530">
        <f t="shared" si="41"/>
        <v>187780.33333333334</v>
      </c>
      <c r="BH41" s="531">
        <f t="shared" si="42"/>
        <v>187780.33333333334</v>
      </c>
      <c r="BI41" s="531">
        <f t="shared" si="42"/>
        <v>187780.33333333334</v>
      </c>
      <c r="BJ41" s="531">
        <f t="shared" si="42"/>
        <v>187780.33333333334</v>
      </c>
      <c r="BK41" s="531">
        <f t="shared" si="42"/>
        <v>187780.33333333334</v>
      </c>
      <c r="BL41" s="531">
        <f t="shared" si="42"/>
        <v>187780.33333333334</v>
      </c>
      <c r="BM41" s="531">
        <f t="shared" si="42"/>
        <v>187780.33333333334</v>
      </c>
      <c r="BN41" s="531">
        <f t="shared" si="42"/>
        <v>187780.33333333334</v>
      </c>
      <c r="BO41" s="531">
        <f t="shared" si="42"/>
        <v>187780.33333333334</v>
      </c>
      <c r="BP41" s="531">
        <f t="shared" si="42"/>
        <v>187780.33333333334</v>
      </c>
      <c r="BQ41" s="531">
        <f t="shared" si="42"/>
        <v>187780.33333333334</v>
      </c>
      <c r="BR41" s="531">
        <f t="shared" si="42"/>
        <v>187780.33333333334</v>
      </c>
      <c r="BS41" s="550">
        <v>2253364</v>
      </c>
    </row>
    <row r="42" spans="1:71">
      <c r="A42" s="527"/>
      <c r="B42" s="521" t="s">
        <v>141</v>
      </c>
      <c r="C42" s="529" t="s">
        <v>140</v>
      </c>
      <c r="D42" s="530"/>
      <c r="E42" s="531"/>
      <c r="F42" s="531"/>
      <c r="G42" s="531"/>
      <c r="H42" s="531"/>
      <c r="I42" s="531"/>
      <c r="J42" s="531"/>
      <c r="K42" s="531"/>
      <c r="L42" s="531"/>
      <c r="M42" s="531"/>
      <c r="N42" s="531"/>
      <c r="O42" s="531"/>
      <c r="P42" s="531">
        <f t="shared" si="36"/>
        <v>0</v>
      </c>
      <c r="Q42" s="550">
        <v>0</v>
      </c>
      <c r="R42" s="530">
        <v>0</v>
      </c>
      <c r="S42" s="531">
        <f t="shared" si="47"/>
        <v>0</v>
      </c>
      <c r="T42" s="531">
        <f t="shared" si="48"/>
        <v>0</v>
      </c>
      <c r="U42" s="531">
        <f t="shared" si="72"/>
        <v>0</v>
      </c>
      <c r="V42" s="531">
        <f t="shared" si="49"/>
        <v>0</v>
      </c>
      <c r="W42" s="531">
        <f t="shared" si="50"/>
        <v>0</v>
      </c>
      <c r="X42" s="531">
        <f t="shared" si="51"/>
        <v>0</v>
      </c>
      <c r="Y42" s="531">
        <f t="shared" si="52"/>
        <v>0</v>
      </c>
      <c r="Z42" s="531">
        <v>0</v>
      </c>
      <c r="AA42" s="531">
        <f t="shared" si="53"/>
        <v>0</v>
      </c>
      <c r="AB42" s="531">
        <f t="shared" si="54"/>
        <v>0</v>
      </c>
      <c r="AC42" s="531">
        <f t="shared" si="55"/>
        <v>0</v>
      </c>
      <c r="AD42" s="531">
        <f t="shared" si="37"/>
        <v>0</v>
      </c>
      <c r="AE42" s="550">
        <v>0</v>
      </c>
      <c r="AF42" s="530">
        <f t="shared" si="56"/>
        <v>0</v>
      </c>
      <c r="AG42" s="531">
        <f t="shared" si="57"/>
        <v>0</v>
      </c>
      <c r="AH42" s="531">
        <f t="shared" si="58"/>
        <v>0</v>
      </c>
      <c r="AI42" s="531">
        <f t="shared" si="59"/>
        <v>0</v>
      </c>
      <c r="AJ42" s="531">
        <f t="shared" si="60"/>
        <v>0</v>
      </c>
      <c r="AK42" s="531">
        <f t="shared" si="61"/>
        <v>0</v>
      </c>
      <c r="AL42" s="531">
        <f t="shared" si="62"/>
        <v>0</v>
      </c>
      <c r="AM42" s="531">
        <f t="shared" si="63"/>
        <v>0</v>
      </c>
      <c r="AN42" s="531">
        <f t="shared" si="64"/>
        <v>0</v>
      </c>
      <c r="AO42" s="531">
        <f t="shared" si="65"/>
        <v>0</v>
      </c>
      <c r="AP42" s="531">
        <f t="shared" si="66"/>
        <v>0</v>
      </c>
      <c r="AQ42" s="531">
        <f t="shared" si="67"/>
        <v>0</v>
      </c>
      <c r="AR42" s="531">
        <f t="shared" si="38"/>
        <v>0</v>
      </c>
      <c r="AS42" s="550">
        <v>0</v>
      </c>
      <c r="AT42" s="530">
        <f t="shared" ref="AT42" si="75">BF42/12</f>
        <v>0</v>
      </c>
      <c r="AU42" s="531">
        <f t="shared" si="69"/>
        <v>0</v>
      </c>
      <c r="AV42" s="531">
        <v>0</v>
      </c>
      <c r="AW42" s="531">
        <f t="shared" si="71"/>
        <v>0</v>
      </c>
      <c r="AX42" s="531">
        <f t="shared" si="39"/>
        <v>0</v>
      </c>
      <c r="AY42" s="531">
        <f t="shared" ref="AY42:BE48" si="76">AX42</f>
        <v>0</v>
      </c>
      <c r="AZ42" s="531">
        <f t="shared" si="76"/>
        <v>0</v>
      </c>
      <c r="BA42" s="531">
        <f t="shared" si="76"/>
        <v>0</v>
      </c>
      <c r="BB42" s="531">
        <f t="shared" si="76"/>
        <v>0</v>
      </c>
      <c r="BC42" s="531">
        <f t="shared" si="76"/>
        <v>0</v>
      </c>
      <c r="BD42" s="531">
        <f t="shared" si="76"/>
        <v>0</v>
      </c>
      <c r="BE42" s="531">
        <f t="shared" si="76"/>
        <v>0</v>
      </c>
      <c r="BF42" s="550">
        <v>0</v>
      </c>
      <c r="BG42" s="530">
        <f t="shared" si="41"/>
        <v>0</v>
      </c>
      <c r="BH42" s="531">
        <f t="shared" ref="BH42:BR48" si="77">BG42</f>
        <v>0</v>
      </c>
      <c r="BI42" s="531">
        <f t="shared" si="77"/>
        <v>0</v>
      </c>
      <c r="BJ42" s="531">
        <f t="shared" si="77"/>
        <v>0</v>
      </c>
      <c r="BK42" s="531">
        <f t="shared" si="77"/>
        <v>0</v>
      </c>
      <c r="BL42" s="531">
        <f t="shared" si="77"/>
        <v>0</v>
      </c>
      <c r="BM42" s="531">
        <f t="shared" si="77"/>
        <v>0</v>
      </c>
      <c r="BN42" s="531">
        <f t="shared" si="77"/>
        <v>0</v>
      </c>
      <c r="BO42" s="531">
        <f t="shared" si="77"/>
        <v>0</v>
      </c>
      <c r="BP42" s="531">
        <f t="shared" si="77"/>
        <v>0</v>
      </c>
      <c r="BQ42" s="531">
        <f t="shared" si="77"/>
        <v>0</v>
      </c>
      <c r="BR42" s="531">
        <f t="shared" si="77"/>
        <v>0</v>
      </c>
      <c r="BS42" s="550">
        <v>0</v>
      </c>
    </row>
    <row r="43" spans="1:71" ht="15" customHeight="1">
      <c r="A43" s="527"/>
      <c r="B43" s="521" t="s">
        <v>125</v>
      </c>
      <c r="C43" s="529" t="s">
        <v>112</v>
      </c>
      <c r="D43" s="530">
        <v>24568.760000000006</v>
      </c>
      <c r="E43" s="531">
        <v>23778.020000000004</v>
      </c>
      <c r="F43" s="531">
        <v>25286.270000000004</v>
      </c>
      <c r="G43" s="531">
        <v>25299.45</v>
      </c>
      <c r="H43" s="531">
        <v>24959.45</v>
      </c>
      <c r="I43" s="531">
        <v>24711.619999999995</v>
      </c>
      <c r="J43" s="531">
        <v>25001.260000000002</v>
      </c>
      <c r="K43" s="531">
        <v>26878.039999999997</v>
      </c>
      <c r="L43" s="531">
        <v>26827.82</v>
      </c>
      <c r="M43" s="531">
        <v>25643.759999999998</v>
      </c>
      <c r="N43" s="531">
        <v>10027.799999999988</v>
      </c>
      <c r="O43" s="531">
        <v>29296.989999999998</v>
      </c>
      <c r="P43" s="531">
        <f t="shared" si="36"/>
        <v>35379.760000000009</v>
      </c>
      <c r="Q43" s="550">
        <v>327659</v>
      </c>
      <c r="R43" s="530">
        <v>21755</v>
      </c>
      <c r="S43" s="531">
        <v>20202</v>
      </c>
      <c r="T43" s="531">
        <v>19243</v>
      </c>
      <c r="U43" s="531">
        <v>20809</v>
      </c>
      <c r="V43" s="531">
        <v>21294</v>
      </c>
      <c r="W43" s="531">
        <v>28876</v>
      </c>
      <c r="X43" s="531">
        <v>23175</v>
      </c>
      <c r="Y43" s="531">
        <v>23393</v>
      </c>
      <c r="Z43" s="531">
        <v>26872</v>
      </c>
      <c r="AA43" s="531">
        <v>25331</v>
      </c>
      <c r="AB43" s="531">
        <v>14973</v>
      </c>
      <c r="AC43" s="531">
        <v>21641</v>
      </c>
      <c r="AD43" s="531">
        <f t="shared" si="37"/>
        <v>5068</v>
      </c>
      <c r="AE43" s="550">
        <v>272632</v>
      </c>
      <c r="AF43" s="530">
        <v>18646</v>
      </c>
      <c r="AG43" s="531">
        <v>18881</v>
      </c>
      <c r="AH43" s="531">
        <v>19710</v>
      </c>
      <c r="AI43" s="531">
        <v>18506.009999999998</v>
      </c>
      <c r="AJ43" s="531">
        <v>19006</v>
      </c>
      <c r="AK43" s="531">
        <v>18635</v>
      </c>
      <c r="AL43" s="531">
        <v>16976</v>
      </c>
      <c r="AM43" s="531">
        <v>18159</v>
      </c>
      <c r="AN43" s="531">
        <v>30066</v>
      </c>
      <c r="AO43" s="531">
        <v>19305</v>
      </c>
      <c r="AP43" s="531">
        <v>-33961</v>
      </c>
      <c r="AQ43" s="531">
        <v>17706.210000000003</v>
      </c>
      <c r="AR43" s="531">
        <f t="shared" si="38"/>
        <v>57551.78</v>
      </c>
      <c r="AS43" s="550">
        <v>239187</v>
      </c>
      <c r="AT43" s="530">
        <v>16167</v>
      </c>
      <c r="AU43" s="531">
        <v>21103</v>
      </c>
      <c r="AV43" s="531">
        <v>22462</v>
      </c>
      <c r="AW43" s="531">
        <v>19217</v>
      </c>
      <c r="AX43" s="531">
        <f t="shared" si="39"/>
        <v>24897.25</v>
      </c>
      <c r="AY43" s="531">
        <f t="shared" si="76"/>
        <v>24897.25</v>
      </c>
      <c r="AZ43" s="531">
        <f t="shared" si="76"/>
        <v>24897.25</v>
      </c>
      <c r="BA43" s="531">
        <f t="shared" si="76"/>
        <v>24897.25</v>
      </c>
      <c r="BB43" s="531">
        <f t="shared" si="76"/>
        <v>24897.25</v>
      </c>
      <c r="BC43" s="531">
        <f t="shared" si="76"/>
        <v>24897.25</v>
      </c>
      <c r="BD43" s="531">
        <f t="shared" si="76"/>
        <v>24897.25</v>
      </c>
      <c r="BE43" s="531">
        <f t="shared" si="76"/>
        <v>24897.25</v>
      </c>
      <c r="BF43" s="550">
        <v>278127</v>
      </c>
      <c r="BG43" s="530">
        <f t="shared" si="41"/>
        <v>34566.25</v>
      </c>
      <c r="BH43" s="531">
        <f t="shared" si="77"/>
        <v>34566.25</v>
      </c>
      <c r="BI43" s="531">
        <f t="shared" si="77"/>
        <v>34566.25</v>
      </c>
      <c r="BJ43" s="531">
        <f t="shared" si="77"/>
        <v>34566.25</v>
      </c>
      <c r="BK43" s="531">
        <f t="shared" si="77"/>
        <v>34566.25</v>
      </c>
      <c r="BL43" s="531">
        <f t="shared" si="77"/>
        <v>34566.25</v>
      </c>
      <c r="BM43" s="531">
        <f t="shared" si="77"/>
        <v>34566.25</v>
      </c>
      <c r="BN43" s="531">
        <f t="shared" si="77"/>
        <v>34566.25</v>
      </c>
      <c r="BO43" s="531">
        <f t="shared" si="77"/>
        <v>34566.25</v>
      </c>
      <c r="BP43" s="531">
        <f t="shared" si="77"/>
        <v>34566.25</v>
      </c>
      <c r="BQ43" s="531">
        <f t="shared" si="77"/>
        <v>34566.25</v>
      </c>
      <c r="BR43" s="531">
        <f t="shared" si="77"/>
        <v>34566.25</v>
      </c>
      <c r="BS43" s="550">
        <v>414795</v>
      </c>
    </row>
    <row r="44" spans="1:71" s="557" customFormat="1">
      <c r="A44" s="551" t="s">
        <v>344</v>
      </c>
      <c r="B44" s="552"/>
      <c r="C44" s="553"/>
      <c r="D44" s="554">
        <f t="shared" ref="D44:Z44" si="78">SUM(D29:D43)</f>
        <v>28765.300000000007</v>
      </c>
      <c r="E44" s="555">
        <f t="shared" si="78"/>
        <v>1488518.6099999996</v>
      </c>
      <c r="F44" s="555">
        <f t="shared" si="78"/>
        <v>1518977.92</v>
      </c>
      <c r="G44" s="555">
        <f t="shared" si="78"/>
        <v>1564086.9500000004</v>
      </c>
      <c r="H44" s="555">
        <f t="shared" si="78"/>
        <v>1540696.11</v>
      </c>
      <c r="I44" s="555">
        <f t="shared" si="78"/>
        <v>1528339.1</v>
      </c>
      <c r="J44" s="555">
        <f t="shared" si="78"/>
        <v>1522247.9400000002</v>
      </c>
      <c r="K44" s="555">
        <f t="shared" si="78"/>
        <v>1553403.0500000003</v>
      </c>
      <c r="L44" s="555">
        <f t="shared" si="78"/>
        <v>1139965.7400000002</v>
      </c>
      <c r="M44" s="555">
        <f t="shared" si="78"/>
        <v>1178561.0500000003</v>
      </c>
      <c r="N44" s="555">
        <f t="shared" si="78"/>
        <v>22159.540000001023</v>
      </c>
      <c r="O44" s="555">
        <f t="shared" si="78"/>
        <v>34301.33</v>
      </c>
      <c r="P44" s="555">
        <f t="shared" si="78"/>
        <v>-153024.64000000057</v>
      </c>
      <c r="Q44" s="556">
        <f>SUM(Q29:Q43)</f>
        <v>12966998</v>
      </c>
      <c r="R44" s="554">
        <f t="shared" si="78"/>
        <v>27388</v>
      </c>
      <c r="S44" s="555">
        <f t="shared" si="78"/>
        <v>1699505</v>
      </c>
      <c r="T44" s="555">
        <f t="shared" si="78"/>
        <v>1745241</v>
      </c>
      <c r="U44" s="555">
        <f t="shared" si="78"/>
        <v>1751779</v>
      </c>
      <c r="V44" s="555">
        <f t="shared" si="78"/>
        <v>1763089</v>
      </c>
      <c r="W44" s="555">
        <f t="shared" si="78"/>
        <v>1325976</v>
      </c>
      <c r="X44" s="555">
        <f t="shared" si="78"/>
        <v>1322185</v>
      </c>
      <c r="Y44" s="555">
        <f t="shared" si="78"/>
        <v>1322247</v>
      </c>
      <c r="Z44" s="555">
        <f t="shared" si="78"/>
        <v>1344289.96</v>
      </c>
      <c r="AA44" s="555">
        <f>SUM(AA29:AA43)</f>
        <v>1378184</v>
      </c>
      <c r="AB44" s="555">
        <f>SUM(AB29:AB43)</f>
        <v>1346080</v>
      </c>
      <c r="AC44" s="555">
        <f>SUM(AC29:AC43)</f>
        <v>-2307359</v>
      </c>
      <c r="AD44" s="555">
        <f t="shared" ref="AD44" si="79">SUM(AD29:AD43)</f>
        <v>214491.03999999911</v>
      </c>
      <c r="AE44" s="556">
        <f>SUM(AE29:AE43)</f>
        <v>12933096</v>
      </c>
      <c r="AF44" s="554">
        <f t="shared" ref="AF44:AL44" si="80">SUM(AF29:AF43)</f>
        <v>23692</v>
      </c>
      <c r="AG44" s="555">
        <f t="shared" si="80"/>
        <v>1810385</v>
      </c>
      <c r="AH44" s="555">
        <f t="shared" si="80"/>
        <v>1785288</v>
      </c>
      <c r="AI44" s="555">
        <f t="shared" si="80"/>
        <v>1808930.64</v>
      </c>
      <c r="AJ44" s="555">
        <f t="shared" si="80"/>
        <v>1746888.0800000003</v>
      </c>
      <c r="AK44" s="555">
        <f t="shared" si="80"/>
        <v>1751199</v>
      </c>
      <c r="AL44" s="555">
        <f t="shared" si="80"/>
        <v>1700506.1</v>
      </c>
      <c r="AM44" s="555">
        <f>SUM(AM29:AM43)</f>
        <v>1257195</v>
      </c>
      <c r="AN44" s="555">
        <f>SUM(AN29:AN43)</f>
        <v>232113</v>
      </c>
      <c r="AO44" s="555">
        <f>SUM(AO29:AO43)</f>
        <v>171836.44000000018</v>
      </c>
      <c r="AP44" s="555">
        <f>SUM(AP29:AP43)</f>
        <v>-2928604.72</v>
      </c>
      <c r="AQ44" s="555">
        <f>SUM(AQ29:AQ43)</f>
        <v>1217904.7799999998</v>
      </c>
      <c r="AR44" s="555">
        <f t="shared" si="38"/>
        <v>2316451.6800000034</v>
      </c>
      <c r="AS44" s="556">
        <f>SUM(AS29:AS43)</f>
        <v>12893785</v>
      </c>
      <c r="AT44" s="554">
        <f t="shared" ref="AT44" si="81">SUM(AT29:AT43)</f>
        <v>24374</v>
      </c>
      <c r="AU44" s="555">
        <f>SUM(AU29:AU43)</f>
        <v>2063289</v>
      </c>
      <c r="AV44" s="555">
        <f>SUM(AV29:AV43)</f>
        <v>2056208</v>
      </c>
      <c r="AW44" s="555">
        <f>SUM(AW29:AW43)</f>
        <v>3161444</v>
      </c>
      <c r="AX44" s="555">
        <f t="shared" si="39"/>
        <v>712980.875</v>
      </c>
      <c r="AY44" s="555">
        <f t="shared" si="76"/>
        <v>712980.875</v>
      </c>
      <c r="AZ44" s="555">
        <f t="shared" si="76"/>
        <v>712980.875</v>
      </c>
      <c r="BA44" s="555">
        <f t="shared" si="76"/>
        <v>712980.875</v>
      </c>
      <c r="BB44" s="555">
        <f t="shared" si="76"/>
        <v>712980.875</v>
      </c>
      <c r="BC44" s="555">
        <f t="shared" si="76"/>
        <v>712980.875</v>
      </c>
      <c r="BD44" s="555">
        <f t="shared" si="76"/>
        <v>712980.875</v>
      </c>
      <c r="BE44" s="555">
        <f t="shared" si="76"/>
        <v>712980.875</v>
      </c>
      <c r="BF44" s="556">
        <f t="shared" ref="BF44" si="82">SUM(BF29:BF43)</f>
        <v>13009162</v>
      </c>
      <c r="BG44" s="554">
        <f t="shared" si="41"/>
        <v>1089929.3333333333</v>
      </c>
      <c r="BH44" s="555">
        <f t="shared" si="77"/>
        <v>1089929.3333333333</v>
      </c>
      <c r="BI44" s="555">
        <f t="shared" si="77"/>
        <v>1089929.3333333333</v>
      </c>
      <c r="BJ44" s="555">
        <f t="shared" si="77"/>
        <v>1089929.3333333333</v>
      </c>
      <c r="BK44" s="555">
        <f t="shared" si="77"/>
        <v>1089929.3333333333</v>
      </c>
      <c r="BL44" s="555">
        <f t="shared" si="77"/>
        <v>1089929.3333333333</v>
      </c>
      <c r="BM44" s="555">
        <f t="shared" si="77"/>
        <v>1089929.3333333333</v>
      </c>
      <c r="BN44" s="555">
        <f t="shared" si="77"/>
        <v>1089929.3333333333</v>
      </c>
      <c r="BO44" s="555">
        <f t="shared" si="77"/>
        <v>1089929.3333333333</v>
      </c>
      <c r="BP44" s="555">
        <f t="shared" si="77"/>
        <v>1089929.3333333333</v>
      </c>
      <c r="BQ44" s="555">
        <f t="shared" si="77"/>
        <v>1089929.3333333333</v>
      </c>
      <c r="BR44" s="555">
        <f t="shared" si="77"/>
        <v>1089929.3333333333</v>
      </c>
      <c r="BS44" s="556">
        <f t="shared" ref="BS44" si="83">SUM(BS29:BS43)</f>
        <v>13079152</v>
      </c>
    </row>
    <row r="45" spans="1:71" ht="15" customHeight="1">
      <c r="A45" s="527" t="s">
        <v>34</v>
      </c>
      <c r="B45" s="521" t="s">
        <v>87</v>
      </c>
      <c r="C45" s="529" t="s">
        <v>86</v>
      </c>
      <c r="D45" s="530">
        <v>0</v>
      </c>
      <c r="E45" s="531">
        <v>0</v>
      </c>
      <c r="F45" s="531">
        <v>0</v>
      </c>
      <c r="G45" s="531">
        <v>0</v>
      </c>
      <c r="H45" s="531">
        <v>0</v>
      </c>
      <c r="I45" s="531">
        <v>0</v>
      </c>
      <c r="J45" s="531">
        <v>0</v>
      </c>
      <c r="K45" s="531">
        <v>0</v>
      </c>
      <c r="L45" s="531">
        <v>0</v>
      </c>
      <c r="M45" s="531">
        <v>0</v>
      </c>
      <c r="N45" s="531">
        <v>0</v>
      </c>
      <c r="O45" s="531">
        <v>0</v>
      </c>
      <c r="P45" s="531"/>
      <c r="Q45" s="550">
        <v>0</v>
      </c>
      <c r="R45" s="530">
        <v>0</v>
      </c>
      <c r="S45" s="531">
        <f t="shared" si="47"/>
        <v>0</v>
      </c>
      <c r="T45" s="531">
        <f t="shared" ref="T45:T46" si="84">(AE45-R45-S45)/10</f>
        <v>0</v>
      </c>
      <c r="U45" s="531">
        <f t="shared" ref="T45:AC47" si="85">T45</f>
        <v>0</v>
      </c>
      <c r="V45" s="531">
        <f t="shared" si="85"/>
        <v>0</v>
      </c>
      <c r="W45" s="531">
        <f t="shared" si="85"/>
        <v>0</v>
      </c>
      <c r="X45" s="531">
        <f t="shared" si="85"/>
        <v>0</v>
      </c>
      <c r="Y45" s="531">
        <f t="shared" si="85"/>
        <v>0</v>
      </c>
      <c r="Z45" s="531">
        <f t="shared" si="85"/>
        <v>0</v>
      </c>
      <c r="AA45" s="531">
        <f t="shared" si="85"/>
        <v>0</v>
      </c>
      <c r="AB45" s="531">
        <f t="shared" si="85"/>
        <v>0</v>
      </c>
      <c r="AC45" s="531">
        <f t="shared" si="85"/>
        <v>0</v>
      </c>
      <c r="AD45" s="531"/>
      <c r="AE45" s="550">
        <v>0</v>
      </c>
      <c r="AF45" s="530">
        <v>0</v>
      </c>
      <c r="AG45" s="531">
        <f t="shared" si="57"/>
        <v>0</v>
      </c>
      <c r="AH45" s="531">
        <f t="shared" ref="AH45:AH47" si="86">AG45</f>
        <v>0</v>
      </c>
      <c r="AI45" s="531">
        <f t="shared" si="59"/>
        <v>0</v>
      </c>
      <c r="AJ45" s="531">
        <f t="shared" si="60"/>
        <v>0</v>
      </c>
      <c r="AK45" s="531">
        <f t="shared" si="61"/>
        <v>0</v>
      </c>
      <c r="AL45" s="531">
        <f t="shared" si="62"/>
        <v>0</v>
      </c>
      <c r="AM45" s="531">
        <f t="shared" si="63"/>
        <v>0</v>
      </c>
      <c r="AN45" s="531">
        <f t="shared" si="64"/>
        <v>0</v>
      </c>
      <c r="AO45" s="531">
        <f t="shared" si="65"/>
        <v>0</v>
      </c>
      <c r="AP45" s="531">
        <f t="shared" si="66"/>
        <v>0</v>
      </c>
      <c r="AQ45" s="531">
        <f t="shared" si="67"/>
        <v>0</v>
      </c>
      <c r="AR45" s="531">
        <f t="shared" si="38"/>
        <v>0</v>
      </c>
      <c r="AS45" s="550">
        <v>0</v>
      </c>
      <c r="AT45" s="530">
        <v>0</v>
      </c>
      <c r="AU45" s="531">
        <f t="shared" si="69"/>
        <v>0</v>
      </c>
      <c r="AV45" s="531">
        <f t="shared" si="70"/>
        <v>0</v>
      </c>
      <c r="AW45" s="531">
        <f t="shared" si="71"/>
        <v>0</v>
      </c>
      <c r="AX45" s="531">
        <f t="shared" si="39"/>
        <v>0</v>
      </c>
      <c r="AY45" s="531">
        <f t="shared" si="76"/>
        <v>0</v>
      </c>
      <c r="AZ45" s="531">
        <f t="shared" si="76"/>
        <v>0</v>
      </c>
      <c r="BA45" s="531">
        <f t="shared" si="76"/>
        <v>0</v>
      </c>
      <c r="BB45" s="531">
        <f t="shared" si="76"/>
        <v>0</v>
      </c>
      <c r="BC45" s="531">
        <f t="shared" si="76"/>
        <v>0</v>
      </c>
      <c r="BD45" s="531">
        <f t="shared" si="76"/>
        <v>0</v>
      </c>
      <c r="BE45" s="531">
        <f t="shared" si="76"/>
        <v>0</v>
      </c>
      <c r="BF45" s="550">
        <v>0</v>
      </c>
      <c r="BG45" s="530">
        <f t="shared" si="41"/>
        <v>0</v>
      </c>
      <c r="BH45" s="531">
        <f t="shared" si="77"/>
        <v>0</v>
      </c>
      <c r="BI45" s="531">
        <f t="shared" si="77"/>
        <v>0</v>
      </c>
      <c r="BJ45" s="531">
        <f t="shared" si="77"/>
        <v>0</v>
      </c>
      <c r="BK45" s="531">
        <f t="shared" si="77"/>
        <v>0</v>
      </c>
      <c r="BL45" s="531">
        <f t="shared" si="77"/>
        <v>0</v>
      </c>
      <c r="BM45" s="531">
        <f t="shared" si="77"/>
        <v>0</v>
      </c>
      <c r="BN45" s="531">
        <f t="shared" si="77"/>
        <v>0</v>
      </c>
      <c r="BO45" s="531">
        <f t="shared" si="77"/>
        <v>0</v>
      </c>
      <c r="BP45" s="531">
        <f t="shared" si="77"/>
        <v>0</v>
      </c>
      <c r="BQ45" s="531">
        <f t="shared" si="77"/>
        <v>0</v>
      </c>
      <c r="BR45" s="531">
        <f t="shared" si="77"/>
        <v>0</v>
      </c>
      <c r="BS45" s="550">
        <v>0</v>
      </c>
    </row>
    <row r="46" spans="1:71" ht="15" customHeight="1">
      <c r="A46" s="527"/>
      <c r="B46" s="521" t="s">
        <v>155</v>
      </c>
      <c r="C46" s="529" t="s">
        <v>156</v>
      </c>
      <c r="D46" s="530">
        <v>0</v>
      </c>
      <c r="E46" s="531">
        <v>0</v>
      </c>
      <c r="F46" s="531">
        <v>0</v>
      </c>
      <c r="G46" s="531">
        <v>0</v>
      </c>
      <c r="H46" s="531">
        <v>0</v>
      </c>
      <c r="I46" s="531">
        <v>0</v>
      </c>
      <c r="J46" s="531">
        <v>0</v>
      </c>
      <c r="K46" s="531">
        <v>0</v>
      </c>
      <c r="L46" s="531">
        <v>0</v>
      </c>
      <c r="M46" s="531">
        <v>0</v>
      </c>
      <c r="N46" s="531">
        <v>0</v>
      </c>
      <c r="O46" s="531">
        <v>0</v>
      </c>
      <c r="P46" s="531"/>
      <c r="Q46" s="550">
        <v>0</v>
      </c>
      <c r="R46" s="530">
        <v>0</v>
      </c>
      <c r="S46" s="531">
        <f t="shared" si="47"/>
        <v>0</v>
      </c>
      <c r="T46" s="531">
        <f t="shared" si="84"/>
        <v>0</v>
      </c>
      <c r="U46" s="531">
        <f t="shared" si="85"/>
        <v>0</v>
      </c>
      <c r="V46" s="531">
        <f t="shared" si="85"/>
        <v>0</v>
      </c>
      <c r="W46" s="531">
        <f t="shared" si="85"/>
        <v>0</v>
      </c>
      <c r="X46" s="531">
        <f t="shared" si="85"/>
        <v>0</v>
      </c>
      <c r="Y46" s="531">
        <f t="shared" si="85"/>
        <v>0</v>
      </c>
      <c r="Z46" s="531">
        <f t="shared" si="85"/>
        <v>0</v>
      </c>
      <c r="AA46" s="531">
        <f t="shared" si="85"/>
        <v>0</v>
      </c>
      <c r="AB46" s="531">
        <f t="shared" si="85"/>
        <v>0</v>
      </c>
      <c r="AC46" s="531">
        <f t="shared" si="85"/>
        <v>0</v>
      </c>
      <c r="AD46" s="531"/>
      <c r="AE46" s="550">
        <v>0</v>
      </c>
      <c r="AF46" s="530">
        <v>0</v>
      </c>
      <c r="AG46" s="531">
        <f t="shared" si="57"/>
        <v>0</v>
      </c>
      <c r="AH46" s="531">
        <f t="shared" si="86"/>
        <v>0</v>
      </c>
      <c r="AI46" s="531">
        <f t="shared" si="59"/>
        <v>0</v>
      </c>
      <c r="AJ46" s="531">
        <f t="shared" si="60"/>
        <v>0</v>
      </c>
      <c r="AK46" s="531">
        <f t="shared" si="61"/>
        <v>0</v>
      </c>
      <c r="AL46" s="531">
        <f t="shared" si="62"/>
        <v>0</v>
      </c>
      <c r="AM46" s="531">
        <f t="shared" si="63"/>
        <v>0</v>
      </c>
      <c r="AN46" s="531">
        <f t="shared" si="64"/>
        <v>0</v>
      </c>
      <c r="AO46" s="531">
        <f t="shared" si="65"/>
        <v>0</v>
      </c>
      <c r="AP46" s="531">
        <f t="shared" si="66"/>
        <v>0</v>
      </c>
      <c r="AQ46" s="531">
        <f t="shared" si="67"/>
        <v>0</v>
      </c>
      <c r="AR46" s="531">
        <f t="shared" si="38"/>
        <v>0</v>
      </c>
      <c r="AS46" s="550">
        <v>0</v>
      </c>
      <c r="AT46" s="530">
        <v>0</v>
      </c>
      <c r="AU46" s="531">
        <f t="shared" si="69"/>
        <v>0</v>
      </c>
      <c r="AV46" s="531">
        <f t="shared" si="70"/>
        <v>0</v>
      </c>
      <c r="AW46" s="531">
        <f t="shared" si="71"/>
        <v>0</v>
      </c>
      <c r="AX46" s="531">
        <f t="shared" si="39"/>
        <v>0</v>
      </c>
      <c r="AY46" s="531">
        <f t="shared" si="76"/>
        <v>0</v>
      </c>
      <c r="AZ46" s="531">
        <f t="shared" si="76"/>
        <v>0</v>
      </c>
      <c r="BA46" s="531">
        <f t="shared" si="76"/>
        <v>0</v>
      </c>
      <c r="BB46" s="531">
        <f t="shared" si="76"/>
        <v>0</v>
      </c>
      <c r="BC46" s="531">
        <f t="shared" si="76"/>
        <v>0</v>
      </c>
      <c r="BD46" s="531">
        <f t="shared" si="76"/>
        <v>0</v>
      </c>
      <c r="BE46" s="531">
        <f t="shared" si="76"/>
        <v>0</v>
      </c>
      <c r="BF46" s="550">
        <v>0</v>
      </c>
      <c r="BG46" s="530">
        <f t="shared" si="41"/>
        <v>0</v>
      </c>
      <c r="BH46" s="531">
        <f t="shared" si="77"/>
        <v>0</v>
      </c>
      <c r="BI46" s="531">
        <f t="shared" si="77"/>
        <v>0</v>
      </c>
      <c r="BJ46" s="531">
        <f t="shared" si="77"/>
        <v>0</v>
      </c>
      <c r="BK46" s="531">
        <f t="shared" si="77"/>
        <v>0</v>
      </c>
      <c r="BL46" s="531">
        <f t="shared" si="77"/>
        <v>0</v>
      </c>
      <c r="BM46" s="531">
        <f t="shared" si="77"/>
        <v>0</v>
      </c>
      <c r="BN46" s="531">
        <f t="shared" si="77"/>
        <v>0</v>
      </c>
      <c r="BO46" s="531">
        <f t="shared" si="77"/>
        <v>0</v>
      </c>
      <c r="BP46" s="531">
        <f t="shared" si="77"/>
        <v>0</v>
      </c>
      <c r="BQ46" s="531">
        <f t="shared" si="77"/>
        <v>0</v>
      </c>
      <c r="BR46" s="531">
        <f t="shared" si="77"/>
        <v>0</v>
      </c>
      <c r="BS46" s="550">
        <v>0</v>
      </c>
    </row>
    <row r="47" spans="1:71" s="512" customFormat="1" ht="15" customHeight="1">
      <c r="A47" s="527" t="s">
        <v>345</v>
      </c>
      <c r="B47" s="521"/>
      <c r="C47" s="529"/>
      <c r="D47" s="559">
        <f>SUM(D45:D46)</f>
        <v>0</v>
      </c>
      <c r="E47" s="560">
        <f>SUM(E45:E46)</f>
        <v>0</v>
      </c>
      <c r="F47" s="560">
        <f t="shared" ref="F47:O47" si="87">SUM(F45:F46)</f>
        <v>0</v>
      </c>
      <c r="G47" s="560">
        <f t="shared" si="87"/>
        <v>0</v>
      </c>
      <c r="H47" s="560">
        <f t="shared" si="87"/>
        <v>0</v>
      </c>
      <c r="I47" s="560">
        <f t="shared" si="87"/>
        <v>0</v>
      </c>
      <c r="J47" s="560">
        <f t="shared" si="87"/>
        <v>0</v>
      </c>
      <c r="K47" s="560">
        <f t="shared" si="87"/>
        <v>0</v>
      </c>
      <c r="L47" s="560">
        <f t="shared" si="87"/>
        <v>0</v>
      </c>
      <c r="M47" s="560">
        <f t="shared" si="87"/>
        <v>0</v>
      </c>
      <c r="N47" s="560">
        <f t="shared" si="87"/>
        <v>0</v>
      </c>
      <c r="O47" s="560">
        <f t="shared" si="87"/>
        <v>0</v>
      </c>
      <c r="P47" s="560"/>
      <c r="Q47" s="550">
        <v>0</v>
      </c>
      <c r="R47" s="559">
        <f>SUM(R45:R46)</f>
        <v>0</v>
      </c>
      <c r="S47" s="560">
        <f t="shared" si="47"/>
        <v>0</v>
      </c>
      <c r="T47" s="560">
        <f t="shared" si="85"/>
        <v>0</v>
      </c>
      <c r="U47" s="560">
        <f t="shared" si="85"/>
        <v>0</v>
      </c>
      <c r="V47" s="560">
        <f t="shared" si="85"/>
        <v>0</v>
      </c>
      <c r="W47" s="560">
        <f t="shared" si="85"/>
        <v>0</v>
      </c>
      <c r="X47" s="560">
        <f t="shared" si="85"/>
        <v>0</v>
      </c>
      <c r="Y47" s="560">
        <f t="shared" si="85"/>
        <v>0</v>
      </c>
      <c r="Z47" s="560">
        <f t="shared" si="85"/>
        <v>0</v>
      </c>
      <c r="AA47" s="560">
        <f t="shared" si="85"/>
        <v>0</v>
      </c>
      <c r="AB47" s="560">
        <f t="shared" si="85"/>
        <v>0</v>
      </c>
      <c r="AC47" s="560">
        <f t="shared" si="85"/>
        <v>0</v>
      </c>
      <c r="AD47" s="560"/>
      <c r="AE47" s="550">
        <v>0</v>
      </c>
      <c r="AF47" s="559">
        <f>SUM(AF45:AF46)</f>
        <v>0</v>
      </c>
      <c r="AG47" s="560">
        <f t="shared" si="57"/>
        <v>0</v>
      </c>
      <c r="AH47" s="560">
        <f t="shared" si="86"/>
        <v>0</v>
      </c>
      <c r="AI47" s="560">
        <f t="shared" si="59"/>
        <v>0</v>
      </c>
      <c r="AJ47" s="560">
        <f t="shared" si="60"/>
        <v>0</v>
      </c>
      <c r="AK47" s="560">
        <f t="shared" si="61"/>
        <v>0</v>
      </c>
      <c r="AL47" s="560">
        <f t="shared" si="62"/>
        <v>0</v>
      </c>
      <c r="AM47" s="560">
        <f t="shared" si="63"/>
        <v>0</v>
      </c>
      <c r="AN47" s="560">
        <f t="shared" si="64"/>
        <v>0</v>
      </c>
      <c r="AO47" s="560">
        <f t="shared" si="65"/>
        <v>0</v>
      </c>
      <c r="AP47" s="560">
        <f t="shared" si="66"/>
        <v>0</v>
      </c>
      <c r="AQ47" s="560">
        <f t="shared" si="67"/>
        <v>0</v>
      </c>
      <c r="AR47" s="560">
        <f t="shared" si="38"/>
        <v>0</v>
      </c>
      <c r="AS47" s="550">
        <v>0</v>
      </c>
      <c r="AT47" s="559">
        <f>SUM(AT45:AT46)</f>
        <v>0</v>
      </c>
      <c r="AU47" s="560">
        <f t="shared" si="69"/>
        <v>0</v>
      </c>
      <c r="AV47" s="560">
        <f t="shared" si="70"/>
        <v>0</v>
      </c>
      <c r="AW47" s="560">
        <f t="shared" si="71"/>
        <v>0</v>
      </c>
      <c r="AX47" s="560">
        <f t="shared" si="39"/>
        <v>0</v>
      </c>
      <c r="AY47" s="560">
        <f t="shared" si="76"/>
        <v>0</v>
      </c>
      <c r="AZ47" s="560">
        <f t="shared" si="76"/>
        <v>0</v>
      </c>
      <c r="BA47" s="560">
        <f t="shared" si="76"/>
        <v>0</v>
      </c>
      <c r="BB47" s="560">
        <f t="shared" si="76"/>
        <v>0</v>
      </c>
      <c r="BC47" s="560">
        <f t="shared" si="76"/>
        <v>0</v>
      </c>
      <c r="BD47" s="560">
        <f t="shared" si="76"/>
        <v>0</v>
      </c>
      <c r="BE47" s="560">
        <f t="shared" si="76"/>
        <v>0</v>
      </c>
      <c r="BF47" s="550">
        <v>0</v>
      </c>
      <c r="BG47" s="559">
        <f t="shared" si="41"/>
        <v>0</v>
      </c>
      <c r="BH47" s="560">
        <f t="shared" si="77"/>
        <v>0</v>
      </c>
      <c r="BI47" s="560">
        <f t="shared" si="77"/>
        <v>0</v>
      </c>
      <c r="BJ47" s="560">
        <f t="shared" si="77"/>
        <v>0</v>
      </c>
      <c r="BK47" s="560">
        <f t="shared" si="77"/>
        <v>0</v>
      </c>
      <c r="BL47" s="560">
        <f t="shared" si="77"/>
        <v>0</v>
      </c>
      <c r="BM47" s="560">
        <f t="shared" si="77"/>
        <v>0</v>
      </c>
      <c r="BN47" s="560">
        <f t="shared" si="77"/>
        <v>0</v>
      </c>
      <c r="BO47" s="560">
        <f t="shared" si="77"/>
        <v>0</v>
      </c>
      <c r="BP47" s="560">
        <f t="shared" si="77"/>
        <v>0</v>
      </c>
      <c r="BQ47" s="560">
        <f t="shared" si="77"/>
        <v>0</v>
      </c>
      <c r="BR47" s="560">
        <f t="shared" si="77"/>
        <v>0</v>
      </c>
      <c r="BS47" s="550">
        <v>0</v>
      </c>
    </row>
    <row r="48" spans="1:71" s="512" customFormat="1" ht="16.8" thickBot="1">
      <c r="A48" s="561" t="s">
        <v>152</v>
      </c>
      <c r="B48" s="538"/>
      <c r="C48" s="539"/>
      <c r="D48" s="562">
        <f t="shared" ref="D48:P48" si="88">SUM(D28,D44)</f>
        <v>1610001.5300000003</v>
      </c>
      <c r="E48" s="562">
        <f t="shared" si="88"/>
        <v>1558267.5599999996</v>
      </c>
      <c r="F48" s="562">
        <f t="shared" si="88"/>
        <v>1656962.0499999998</v>
      </c>
      <c r="G48" s="562">
        <f t="shared" si="88"/>
        <v>1657878.1300000004</v>
      </c>
      <c r="H48" s="562">
        <f t="shared" si="88"/>
        <v>1635592.48</v>
      </c>
      <c r="I48" s="562">
        <f t="shared" si="88"/>
        <v>1619368.73</v>
      </c>
      <c r="J48" s="562">
        <f t="shared" si="88"/>
        <v>1638603.2500000002</v>
      </c>
      <c r="K48" s="562">
        <f t="shared" si="88"/>
        <v>1761462.8699999999</v>
      </c>
      <c r="L48" s="562">
        <f t="shared" si="88"/>
        <v>2349386.5700000003</v>
      </c>
      <c r="M48" s="562">
        <f t="shared" si="88"/>
        <v>1680276.6400000001</v>
      </c>
      <c r="N48" s="562">
        <f t="shared" si="88"/>
        <v>1902480.7300000016</v>
      </c>
      <c r="O48" s="562">
        <f t="shared" si="88"/>
        <v>1919451.5300000003</v>
      </c>
      <c r="P48" s="562">
        <f t="shared" si="88"/>
        <v>453963.92999999877</v>
      </c>
      <c r="Q48" s="563">
        <f>SUM(Q28,Q44)</f>
        <v>21443696</v>
      </c>
      <c r="R48" s="562">
        <f>SUM(R47,R44,R28)</f>
        <v>1944793</v>
      </c>
      <c r="S48" s="562">
        <f>SUM(S47,S44,S28)</f>
        <v>1806099</v>
      </c>
      <c r="T48" s="562">
        <f>SUM(T47,T44,T28)</f>
        <v>1720545</v>
      </c>
      <c r="U48" s="562">
        <f>SUM(U28,U44)</f>
        <v>1860278</v>
      </c>
      <c r="V48" s="562">
        <f>SUM(V28,V44)</f>
        <v>1903576</v>
      </c>
      <c r="W48" s="562">
        <f>SUM(W28,W44)</f>
        <v>2580648</v>
      </c>
      <c r="X48" s="562">
        <f>X28+X44</f>
        <v>2071696</v>
      </c>
      <c r="Y48" s="562">
        <f>SUM(Y28,Y44)</f>
        <v>2091258</v>
      </c>
      <c r="Z48" s="562">
        <f>SUM(Z28,Z44)</f>
        <v>1902323.600000001</v>
      </c>
      <c r="AA48" s="562">
        <f>AA28+AA44</f>
        <v>2264304</v>
      </c>
      <c r="AB48" s="562">
        <f>AB28+AB44</f>
        <v>2001713</v>
      </c>
      <c r="AC48" s="562">
        <f>AC28+AC44</f>
        <v>1934794</v>
      </c>
      <c r="AD48" s="562">
        <f t="shared" ref="AD48" si="89">SUM(AD28,AD44)</f>
        <v>259963.39999999851</v>
      </c>
      <c r="AE48" s="563">
        <f>SUM(AE28,AE44)</f>
        <v>24341991</v>
      </c>
      <c r="AF48" s="562">
        <f>SUM(AF47,AF44,AF28)</f>
        <v>1907070</v>
      </c>
      <c r="AG48" s="562">
        <f>SUM(AG28,AG44)</f>
        <v>1931253</v>
      </c>
      <c r="AH48" s="562">
        <f>SUM(AH28,AH44)</f>
        <v>2015808</v>
      </c>
      <c r="AI48" s="562">
        <f>AI28+AI44</f>
        <v>1892948.0499999998</v>
      </c>
      <c r="AJ48" s="562">
        <f>AJ28+AJ44</f>
        <v>1832756.0800000003</v>
      </c>
      <c r="AK48" s="562">
        <f>SUM(AK28,AK44)</f>
        <v>1906106</v>
      </c>
      <c r="AL48" s="562">
        <f t="shared" ref="AL48:AQ48" si="90">AL28+AL44</f>
        <v>2018125.0300000003</v>
      </c>
      <c r="AM48" s="562">
        <f t="shared" si="90"/>
        <v>1857352</v>
      </c>
      <c r="AN48" s="562">
        <f t="shared" si="90"/>
        <v>3073600</v>
      </c>
      <c r="AO48" s="562">
        <f t="shared" si="90"/>
        <v>1974445.9300000002</v>
      </c>
      <c r="AP48" s="562">
        <f t="shared" si="90"/>
        <v>1853239.1299999994</v>
      </c>
      <c r="AQ48" s="562">
        <f t="shared" si="90"/>
        <v>1811067.33</v>
      </c>
      <c r="AR48" s="562">
        <f t="shared" si="38"/>
        <v>338444.45000000298</v>
      </c>
      <c r="AS48" s="563">
        <f>AS28+AS44</f>
        <v>24412215</v>
      </c>
      <c r="AT48" s="562">
        <f>SUM(AT47,AT44,AT28)</f>
        <v>1744905</v>
      </c>
      <c r="AU48" s="562">
        <f>SUM(AU47,AU44,AU28)</f>
        <v>2278192</v>
      </c>
      <c r="AV48" s="562">
        <f>SUM(AV47,AV44,AV28)</f>
        <v>2425829</v>
      </c>
      <c r="AW48" s="562">
        <f>SUM(AW28,AW44)</f>
        <v>2189070</v>
      </c>
      <c r="AX48" s="562">
        <f t="shared" si="39"/>
        <v>2666600.625</v>
      </c>
      <c r="AY48" s="562">
        <f t="shared" si="76"/>
        <v>2666600.625</v>
      </c>
      <c r="AZ48" s="562">
        <f t="shared" si="76"/>
        <v>2666600.625</v>
      </c>
      <c r="BA48" s="562">
        <f t="shared" si="76"/>
        <v>2666600.625</v>
      </c>
      <c r="BB48" s="562">
        <f t="shared" si="76"/>
        <v>2666600.625</v>
      </c>
      <c r="BC48" s="562">
        <f t="shared" si="76"/>
        <v>2666600.625</v>
      </c>
      <c r="BD48" s="562">
        <f t="shared" si="76"/>
        <v>2666600.625</v>
      </c>
      <c r="BE48" s="562">
        <f t="shared" si="76"/>
        <v>2666600.625</v>
      </c>
      <c r="BF48" s="563">
        <f>BF28+BF44</f>
        <v>29970801</v>
      </c>
      <c r="BG48" s="562">
        <f>SUM(BG47,BG44,BG28)</f>
        <v>2503399.25</v>
      </c>
      <c r="BH48" s="562">
        <f t="shared" si="77"/>
        <v>2503399.25</v>
      </c>
      <c r="BI48" s="562">
        <f t="shared" si="77"/>
        <v>2503399.25</v>
      </c>
      <c r="BJ48" s="562">
        <f t="shared" si="77"/>
        <v>2503399.25</v>
      </c>
      <c r="BK48" s="562">
        <f t="shared" si="77"/>
        <v>2503399.25</v>
      </c>
      <c r="BL48" s="562">
        <f t="shared" si="77"/>
        <v>2503399.25</v>
      </c>
      <c r="BM48" s="562">
        <f t="shared" si="77"/>
        <v>2503399.25</v>
      </c>
      <c r="BN48" s="562">
        <f t="shared" si="77"/>
        <v>2503399.25</v>
      </c>
      <c r="BO48" s="562">
        <f t="shared" si="77"/>
        <v>2503399.25</v>
      </c>
      <c r="BP48" s="562">
        <f t="shared" si="77"/>
        <v>2503399.25</v>
      </c>
      <c r="BQ48" s="562">
        <f t="shared" si="77"/>
        <v>2503399.25</v>
      </c>
      <c r="BR48" s="562">
        <f t="shared" si="77"/>
        <v>2503399.25</v>
      </c>
      <c r="BS48" s="563">
        <f>BS28+BS44</f>
        <v>30040791</v>
      </c>
    </row>
    <row r="49" spans="3:71" ht="19.95" customHeight="1">
      <c r="C49" s="527"/>
      <c r="D49" s="564"/>
      <c r="E49" s="565"/>
      <c r="F49" s="565"/>
      <c r="G49" s="565"/>
      <c r="H49" s="565"/>
      <c r="I49" s="565"/>
      <c r="J49" s="565"/>
      <c r="K49" s="565"/>
      <c r="L49" s="565"/>
      <c r="M49" s="565"/>
      <c r="N49" s="565"/>
      <c r="O49" s="565"/>
      <c r="P49" s="565"/>
      <c r="Q49" s="566"/>
      <c r="R49" s="564"/>
      <c r="S49" s="565"/>
      <c r="T49" s="565"/>
      <c r="U49" s="565"/>
      <c r="V49" s="565"/>
      <c r="W49" s="565"/>
      <c r="X49" s="565"/>
      <c r="Y49" s="565"/>
      <c r="Z49" s="565"/>
      <c r="AA49" s="565"/>
      <c r="AB49" s="565"/>
      <c r="AC49" s="565"/>
      <c r="AD49" s="565"/>
      <c r="AE49" s="566"/>
      <c r="AF49" s="564"/>
      <c r="AG49" s="565"/>
      <c r="AH49" s="565"/>
      <c r="AI49" s="565"/>
      <c r="AJ49" s="565"/>
      <c r="AK49" s="565"/>
      <c r="AL49" s="565"/>
      <c r="AM49" s="565"/>
      <c r="AN49" s="565"/>
      <c r="AO49" s="565"/>
      <c r="AP49" s="565"/>
      <c r="AQ49" s="565"/>
      <c r="AR49" s="565"/>
      <c r="AS49" s="566"/>
      <c r="AT49" s="564"/>
      <c r="AU49" s="565"/>
      <c r="AV49" s="565"/>
      <c r="AW49" s="565"/>
      <c r="AX49" s="565"/>
      <c r="AY49" s="565"/>
      <c r="AZ49" s="565"/>
      <c r="BA49" s="565"/>
      <c r="BB49" s="565"/>
      <c r="BC49" s="565"/>
      <c r="BD49" s="565"/>
      <c r="BE49" s="565"/>
      <c r="BF49" s="566"/>
      <c r="BG49" s="564"/>
      <c r="BH49" s="565"/>
      <c r="BI49" s="565"/>
      <c r="BJ49" s="565"/>
      <c r="BK49" s="565"/>
      <c r="BL49" s="565"/>
      <c r="BM49" s="565"/>
      <c r="BN49" s="565"/>
      <c r="BO49" s="565"/>
      <c r="BP49" s="565"/>
      <c r="BQ49" s="565"/>
      <c r="BR49" s="565"/>
      <c r="BS49" s="566"/>
    </row>
    <row r="50" spans="3:71" s="567" customFormat="1">
      <c r="C50" s="559" t="s">
        <v>346</v>
      </c>
      <c r="D50" s="559">
        <v>399</v>
      </c>
      <c r="E50" s="560">
        <v>405</v>
      </c>
      <c r="F50" s="560">
        <v>404</v>
      </c>
      <c r="G50" s="560">
        <v>406</v>
      </c>
      <c r="H50" s="560">
        <v>410</v>
      </c>
      <c r="I50" s="560">
        <v>405</v>
      </c>
      <c r="J50" s="560">
        <v>402</v>
      </c>
      <c r="K50" s="560">
        <v>400</v>
      </c>
      <c r="L50" s="560">
        <v>397</v>
      </c>
      <c r="M50" s="560">
        <v>404</v>
      </c>
      <c r="N50" s="560">
        <v>401</v>
      </c>
      <c r="O50" s="560">
        <v>399</v>
      </c>
      <c r="P50" s="560"/>
      <c r="Q50" s="550">
        <f>AVERAGE(D50:P50)</f>
        <v>402.66666666666669</v>
      </c>
      <c r="R50" s="559">
        <v>405.2</v>
      </c>
      <c r="S50" s="560">
        <v>406.3</v>
      </c>
      <c r="T50" s="560">
        <v>408.7</v>
      </c>
      <c r="U50" s="560">
        <v>413</v>
      </c>
      <c r="V50" s="560">
        <v>409.8</v>
      </c>
      <c r="W50" s="560">
        <v>409</v>
      </c>
      <c r="X50" s="560">
        <v>410</v>
      </c>
      <c r="Y50" s="560">
        <v>407.3</v>
      </c>
      <c r="Z50" s="560">
        <v>406.7</v>
      </c>
      <c r="AA50" s="560">
        <v>406.4</v>
      </c>
      <c r="AB50" s="560">
        <v>407.7</v>
      </c>
      <c r="AC50" s="560">
        <v>416.3</v>
      </c>
      <c r="AD50" s="560"/>
      <c r="AE50" s="550">
        <f>AVERAGE(R50:AC50)</f>
        <v>408.86666666666673</v>
      </c>
      <c r="AF50" s="559">
        <v>412.9</v>
      </c>
      <c r="AG50" s="560">
        <v>414.5</v>
      </c>
      <c r="AH50" s="560">
        <v>411.7</v>
      </c>
      <c r="AI50" s="560">
        <v>405</v>
      </c>
      <c r="AJ50" s="560">
        <v>403.7</v>
      </c>
      <c r="AK50" s="560">
        <v>406.1</v>
      </c>
      <c r="AL50" s="560">
        <v>401.9</v>
      </c>
      <c r="AM50" s="560">
        <v>398.3</v>
      </c>
      <c r="AN50" s="560">
        <v>396.1</v>
      </c>
      <c r="AO50" s="560">
        <v>390.9</v>
      </c>
      <c r="AP50" s="560">
        <v>383.9</v>
      </c>
      <c r="AQ50" s="560">
        <v>386.2</v>
      </c>
      <c r="AR50" s="560"/>
      <c r="AS50" s="550">
        <f>AVERAGE(AE50:AP50)</f>
        <v>402.82222222222214</v>
      </c>
      <c r="AT50" s="559">
        <v>461</v>
      </c>
      <c r="AU50" s="559">
        <v>456.6</v>
      </c>
      <c r="AV50" s="559">
        <v>456.2</v>
      </c>
      <c r="AW50" s="559">
        <v>456.3</v>
      </c>
      <c r="AX50" s="559">
        <v>488.8</v>
      </c>
      <c r="AY50" s="559">
        <v>488.8</v>
      </c>
      <c r="AZ50" s="559">
        <v>488.8</v>
      </c>
      <c r="BA50" s="559">
        <v>488.8</v>
      </c>
      <c r="BB50" s="559">
        <v>488.8</v>
      </c>
      <c r="BC50" s="559">
        <v>488.8</v>
      </c>
      <c r="BD50" s="559">
        <v>488.8</v>
      </c>
      <c r="BE50" s="559">
        <v>488.8</v>
      </c>
      <c r="BF50" s="550">
        <f>AVERAGE(AT50:BE50)</f>
        <v>478.37500000000006</v>
      </c>
      <c r="BG50" s="559">
        <v>488.8</v>
      </c>
      <c r="BH50" s="559">
        <v>488.8</v>
      </c>
      <c r="BI50" s="559">
        <v>488.8</v>
      </c>
      <c r="BJ50" s="559">
        <v>488.8</v>
      </c>
      <c r="BK50" s="559">
        <v>488.8</v>
      </c>
      <c r="BL50" s="559">
        <v>488.8</v>
      </c>
      <c r="BM50" s="559">
        <v>488.8</v>
      </c>
      <c r="BN50" s="559">
        <v>488.8</v>
      </c>
      <c r="BO50" s="559">
        <v>488.8</v>
      </c>
      <c r="BP50" s="559">
        <v>488.8</v>
      </c>
      <c r="BQ50" s="559">
        <v>488.8</v>
      </c>
      <c r="BR50" s="559">
        <v>488.8</v>
      </c>
      <c r="BS50" s="550">
        <f>AVERAGE(BF50:BQ50)</f>
        <v>487.93125000000009</v>
      </c>
    </row>
    <row r="51" spans="3:71" s="567" customFormat="1">
      <c r="C51" s="559"/>
      <c r="D51" s="559"/>
      <c r="E51" s="560"/>
      <c r="F51" s="560"/>
      <c r="G51" s="560"/>
      <c r="H51" s="560"/>
      <c r="I51" s="560"/>
      <c r="J51" s="560"/>
      <c r="K51" s="560"/>
      <c r="L51" s="560"/>
      <c r="M51" s="560"/>
      <c r="N51" s="560"/>
      <c r="O51" s="560"/>
      <c r="P51" s="560"/>
      <c r="Q51" s="550"/>
      <c r="R51" s="559"/>
      <c r="S51" s="560"/>
      <c r="T51" s="560"/>
      <c r="U51" s="560"/>
      <c r="V51" s="560"/>
      <c r="W51" s="560"/>
      <c r="X51" s="560"/>
      <c r="Y51" s="560"/>
      <c r="Z51" s="560"/>
      <c r="AA51" s="560"/>
      <c r="AB51" s="560"/>
      <c r="AC51" s="560"/>
      <c r="AD51" s="560"/>
      <c r="AE51" s="550"/>
      <c r="AF51" s="559"/>
      <c r="AG51" s="560"/>
      <c r="AH51" s="560"/>
      <c r="AI51" s="560"/>
      <c r="AJ51" s="560"/>
      <c r="AK51" s="560"/>
      <c r="AL51" s="560"/>
      <c r="AM51" s="560"/>
      <c r="AN51" s="560"/>
      <c r="AO51" s="560"/>
      <c r="AP51" s="560"/>
      <c r="AQ51" s="560"/>
      <c r="AR51" s="560"/>
      <c r="AS51" s="550"/>
      <c r="AT51" s="559"/>
      <c r="AU51" s="560"/>
      <c r="AV51" s="560"/>
      <c r="AW51" s="560"/>
      <c r="AX51" s="560"/>
      <c r="AY51" s="560"/>
      <c r="AZ51" s="560"/>
      <c r="BA51" s="560"/>
      <c r="BB51" s="560"/>
      <c r="BC51" s="560"/>
      <c r="BD51" s="560"/>
      <c r="BE51" s="560"/>
      <c r="BF51" s="550"/>
      <c r="BG51" s="559"/>
      <c r="BH51" s="560"/>
      <c r="BI51" s="560"/>
      <c r="BJ51" s="560"/>
      <c r="BK51" s="560"/>
      <c r="BL51" s="560"/>
      <c r="BM51" s="560"/>
      <c r="BN51" s="560"/>
      <c r="BO51" s="560"/>
      <c r="BP51" s="560"/>
      <c r="BQ51" s="560"/>
      <c r="BR51" s="560"/>
      <c r="BS51" s="550"/>
    </row>
    <row r="52" spans="3:71" s="571" customFormat="1">
      <c r="C52" s="568" t="s">
        <v>347</v>
      </c>
      <c r="D52" s="569">
        <f t="shared" ref="D52:O52" si="91">SUM(D8,D9)/D50</f>
        <v>3850.4087468671682</v>
      </c>
      <c r="E52" s="569">
        <f t="shared" si="91"/>
        <v>3755.889283950617</v>
      </c>
      <c r="F52" s="569">
        <f t="shared" si="91"/>
        <v>3826.2313613861384</v>
      </c>
      <c r="G52" s="569">
        <f t="shared" si="91"/>
        <v>3804.1771428571428</v>
      </c>
      <c r="H52" s="569">
        <f t="shared" si="91"/>
        <v>3799.3985365853664</v>
      </c>
      <c r="I52" s="569">
        <f t="shared" si="91"/>
        <v>3831.3495802469124</v>
      </c>
      <c r="J52" s="569">
        <f t="shared" si="91"/>
        <v>3844.4308208955226</v>
      </c>
      <c r="K52" s="569">
        <f t="shared" si="91"/>
        <v>3966.0548250000006</v>
      </c>
      <c r="L52" s="569">
        <f t="shared" si="91"/>
        <v>3848.8997229219117</v>
      </c>
      <c r="M52" s="569">
        <f t="shared" si="91"/>
        <v>3945.2708663366348</v>
      </c>
      <c r="N52" s="569">
        <f t="shared" si="91"/>
        <v>3873.7724438902742</v>
      </c>
      <c r="O52" s="569">
        <f t="shared" si="91"/>
        <v>3809.6451127819546</v>
      </c>
      <c r="P52" s="569"/>
      <c r="Q52" s="570">
        <f t="shared" ref="Q52:BS52" si="92">SUM(Q8,Q9)/Q50</f>
        <v>45741.911423841055</v>
      </c>
      <c r="R52" s="569">
        <f t="shared" si="92"/>
        <v>4144.511352418559</v>
      </c>
      <c r="S52" s="569">
        <f t="shared" si="92"/>
        <v>4179.2370169825253</v>
      </c>
      <c r="T52" s="569">
        <f t="shared" si="92"/>
        <v>4378.1991680939564</v>
      </c>
      <c r="U52" s="569">
        <f t="shared" si="92"/>
        <v>4406.7312348668283</v>
      </c>
      <c r="V52" s="569">
        <f t="shared" si="92"/>
        <v>4441.2030258662762</v>
      </c>
      <c r="W52" s="569">
        <f t="shared" si="92"/>
        <v>4464.9511002444988</v>
      </c>
      <c r="X52" s="569">
        <f t="shared" si="92"/>
        <v>4472.707317073171</v>
      </c>
      <c r="Y52" s="569">
        <f t="shared" si="92"/>
        <v>4536.486619199607</v>
      </c>
      <c r="Z52" s="569">
        <f t="shared" si="92"/>
        <v>4449.491505792972</v>
      </c>
      <c r="AA52" s="569">
        <f t="shared" si="92"/>
        <v>4474.1756889763783</v>
      </c>
      <c r="AB52" s="569">
        <f t="shared" si="92"/>
        <v>4488.6092715231789</v>
      </c>
      <c r="AC52" s="569">
        <f t="shared" si="92"/>
        <v>4302.6351189046363</v>
      </c>
      <c r="AD52" s="569"/>
      <c r="AE52" s="570">
        <f t="shared" si="92"/>
        <v>53834.81167454752</v>
      </c>
      <c r="AF52" s="569">
        <f t="shared" si="92"/>
        <v>4157.5877936546385</v>
      </c>
      <c r="AG52" s="569">
        <f t="shared" si="92"/>
        <v>4475.8021712907121</v>
      </c>
      <c r="AH52" s="569">
        <f t="shared" si="92"/>
        <v>4489.0284187515181</v>
      </c>
      <c r="AI52" s="569">
        <f t="shared" si="92"/>
        <v>4600.0763617580251</v>
      </c>
      <c r="AJ52" s="569">
        <f t="shared" si="92"/>
        <v>4465.4945489224674</v>
      </c>
      <c r="AK52" s="569">
        <f t="shared" si="92"/>
        <v>4471.231223836493</v>
      </c>
      <c r="AL52" s="569">
        <f t="shared" si="92"/>
        <v>4499.1053752401158</v>
      </c>
      <c r="AM52" s="569">
        <f t="shared" si="92"/>
        <v>4486.3745920160682</v>
      </c>
      <c r="AN52" s="569">
        <f t="shared" si="92"/>
        <v>4505.8672052511993</v>
      </c>
      <c r="AO52" s="569">
        <f t="shared" si="92"/>
        <v>4528.4953243284726</v>
      </c>
      <c r="AP52" s="569">
        <f t="shared" si="92"/>
        <v>4591.9327949986982</v>
      </c>
      <c r="AQ52" s="569">
        <f t="shared" si="92"/>
        <v>4578.820638819263</v>
      </c>
      <c r="AR52" s="569"/>
      <c r="AS52" s="570">
        <f t="shared" si="92"/>
        <v>52021.40260385062</v>
      </c>
      <c r="AT52" s="569">
        <f t="shared" si="92"/>
        <v>3619.891540130152</v>
      </c>
      <c r="AU52" s="569">
        <f t="shared" si="92"/>
        <v>4462.8865527814278</v>
      </c>
      <c r="AV52" s="569">
        <f t="shared" si="92"/>
        <v>5291.7273125822012</v>
      </c>
      <c r="AW52" s="569">
        <f t="shared" si="92"/>
        <v>4640.4733727810653</v>
      </c>
      <c r="AX52" s="569">
        <f t="shared" si="92"/>
        <v>4553.6855564648113</v>
      </c>
      <c r="AY52" s="569">
        <f t="shared" si="92"/>
        <v>4553.6855564648113</v>
      </c>
      <c r="AZ52" s="569">
        <f t="shared" si="92"/>
        <v>4553.6855564648113</v>
      </c>
      <c r="BA52" s="569">
        <f t="shared" si="92"/>
        <v>4553.6855564648113</v>
      </c>
      <c r="BB52" s="569">
        <f t="shared" si="92"/>
        <v>4553.6855564648113</v>
      </c>
      <c r="BC52" s="569">
        <f t="shared" si="92"/>
        <v>4553.6855564648113</v>
      </c>
      <c r="BD52" s="569">
        <f t="shared" si="92"/>
        <v>4553.6855564648113</v>
      </c>
      <c r="BE52" s="569">
        <f t="shared" si="92"/>
        <v>4553.6855564648113</v>
      </c>
      <c r="BF52" s="570">
        <f t="shared" si="92"/>
        <v>54444.295793049379</v>
      </c>
      <c r="BG52" s="569">
        <f t="shared" si="92"/>
        <v>4304.4638229678121</v>
      </c>
      <c r="BH52" s="569">
        <f t="shared" si="92"/>
        <v>4304.4638229678121</v>
      </c>
      <c r="BI52" s="569">
        <f t="shared" si="92"/>
        <v>4304.4638229678121</v>
      </c>
      <c r="BJ52" s="569">
        <f t="shared" si="92"/>
        <v>4304.4638229678121</v>
      </c>
      <c r="BK52" s="569">
        <f t="shared" si="92"/>
        <v>4304.4638229678121</v>
      </c>
      <c r="BL52" s="569">
        <f t="shared" si="92"/>
        <v>4304.4638229678121</v>
      </c>
      <c r="BM52" s="569">
        <f t="shared" si="92"/>
        <v>4304.4638229678121</v>
      </c>
      <c r="BN52" s="569">
        <f t="shared" si="92"/>
        <v>4304.4638229678121</v>
      </c>
      <c r="BO52" s="569">
        <f t="shared" si="92"/>
        <v>4304.4638229678121</v>
      </c>
      <c r="BP52" s="569">
        <f t="shared" si="92"/>
        <v>4304.4638229678121</v>
      </c>
      <c r="BQ52" s="569">
        <f t="shared" si="92"/>
        <v>4304.4638229678121</v>
      </c>
      <c r="BR52" s="569">
        <f t="shared" si="92"/>
        <v>4304.4638229678121</v>
      </c>
      <c r="BS52" s="570">
        <f t="shared" si="92"/>
        <v>51745.533822644058</v>
      </c>
    </row>
    <row r="53" spans="3:71" s="571" customFormat="1" ht="16.8" thickBot="1">
      <c r="C53" s="572" t="s">
        <v>348</v>
      </c>
      <c r="D53" s="573">
        <f t="shared" ref="D53:O53" si="93">(D21-D18-D19-D20)/D50</f>
        <v>4035.0915538847116</v>
      </c>
      <c r="E53" s="573">
        <f t="shared" si="93"/>
        <v>3847.5742222222225</v>
      </c>
      <c r="F53" s="573">
        <f t="shared" si="93"/>
        <v>4101.3912128712864</v>
      </c>
      <c r="G53" s="573">
        <f t="shared" si="93"/>
        <v>4083.4436699507387</v>
      </c>
      <c r="H53" s="573">
        <f t="shared" si="93"/>
        <v>3989.2499512195127</v>
      </c>
      <c r="I53" s="573">
        <f t="shared" si="93"/>
        <v>3998.441308641974</v>
      </c>
      <c r="J53" s="573">
        <f t="shared" si="93"/>
        <v>4076.1274875621889</v>
      </c>
      <c r="K53" s="573">
        <f t="shared" si="93"/>
        <v>4403.6571749999985</v>
      </c>
      <c r="L53" s="573">
        <f t="shared" si="93"/>
        <v>5917.8503022670011</v>
      </c>
      <c r="M53" s="573">
        <f t="shared" si="93"/>
        <v>4159.1005940594068</v>
      </c>
      <c r="N53" s="573">
        <f t="shared" si="93"/>
        <v>4744.3409725685788</v>
      </c>
      <c r="O53" s="573">
        <f t="shared" si="93"/>
        <v>4810.6554636591472</v>
      </c>
      <c r="P53" s="573"/>
      <c r="Q53" s="574">
        <f t="shared" ref="Q53:BS53" si="94">(Q21-Q18-Q19-Q20)/Q50</f>
        <v>53254.2119205298</v>
      </c>
      <c r="R53" s="573">
        <f t="shared" si="94"/>
        <v>4799.587857847976</v>
      </c>
      <c r="S53" s="573">
        <f t="shared" si="94"/>
        <v>4445.2350479940933</v>
      </c>
      <c r="T53" s="573">
        <f t="shared" si="94"/>
        <v>4209.7996085148034</v>
      </c>
      <c r="U53" s="573">
        <f t="shared" si="94"/>
        <v>4504.3050847457625</v>
      </c>
      <c r="V53" s="573">
        <f t="shared" si="94"/>
        <v>4645.1342118106395</v>
      </c>
      <c r="W53" s="573">
        <f t="shared" si="94"/>
        <v>6309.6531260915117</v>
      </c>
      <c r="X53" s="573">
        <f t="shared" si="94"/>
        <v>5052.9173867595819</v>
      </c>
      <c r="Y53" s="573">
        <f t="shared" si="94"/>
        <v>5134.4417593209637</v>
      </c>
      <c r="Z53" s="573">
        <f t="shared" si="94"/>
        <v>4677.4635025648995</v>
      </c>
      <c r="AA53" s="573">
        <f t="shared" si="94"/>
        <v>5571.61467472816</v>
      </c>
      <c r="AB53" s="573">
        <f t="shared" si="94"/>
        <v>4909.7674854292954</v>
      </c>
      <c r="AC53" s="573">
        <f t="shared" si="94"/>
        <v>4647.5959735996248</v>
      </c>
      <c r="AD53" s="573"/>
      <c r="AE53" s="574">
        <f t="shared" si="94"/>
        <v>59535.278819501051</v>
      </c>
      <c r="AF53" s="573">
        <f t="shared" si="94"/>
        <v>4618.7212400096878</v>
      </c>
      <c r="AG53" s="573">
        <f t="shared" si="94"/>
        <v>4659.2352231604345</v>
      </c>
      <c r="AH53" s="573">
        <f t="shared" si="94"/>
        <v>4896.3031333495264</v>
      </c>
      <c r="AI53" s="573">
        <f t="shared" si="94"/>
        <v>4673.9465799901236</v>
      </c>
      <c r="AJ53" s="573">
        <f t="shared" si="94"/>
        <v>4539.8963324250681</v>
      </c>
      <c r="AK53" s="573">
        <f t="shared" si="94"/>
        <v>4693.6862841664615</v>
      </c>
      <c r="AL53" s="573">
        <f t="shared" si="94"/>
        <v>5021.4616827793043</v>
      </c>
      <c r="AM53" s="573">
        <f t="shared" si="94"/>
        <v>4663.1985940246041</v>
      </c>
      <c r="AN53" s="573">
        <f t="shared" si="94"/>
        <v>7759.6566523605143</v>
      </c>
      <c r="AO53" s="573">
        <f t="shared" si="94"/>
        <v>5051.0260678536715</v>
      </c>
      <c r="AP53" s="573">
        <f t="shared" si="94"/>
        <v>4827.4003646783021</v>
      </c>
      <c r="AQ53" s="573">
        <f t="shared" si="94"/>
        <v>4689.4539974598638</v>
      </c>
      <c r="AR53" s="573"/>
      <c r="AS53" s="574">
        <f t="shared" si="94"/>
        <v>60602.950019308228</v>
      </c>
      <c r="AT53" s="573">
        <f t="shared" si="94"/>
        <v>3785.0433839479392</v>
      </c>
      <c r="AU53" s="573">
        <f t="shared" si="94"/>
        <v>4989.4699956197983</v>
      </c>
      <c r="AV53" s="573">
        <f t="shared" si="94"/>
        <v>5317.4682156948711</v>
      </c>
      <c r="AW53" s="573">
        <f t="shared" si="94"/>
        <v>4797.4358974358975</v>
      </c>
      <c r="AX53" s="573">
        <f t="shared" si="94"/>
        <v>5455.4022606382978</v>
      </c>
      <c r="AY53" s="573">
        <f t="shared" si="94"/>
        <v>5455.4022606382978</v>
      </c>
      <c r="AZ53" s="573">
        <f t="shared" si="94"/>
        <v>5455.4022606382978</v>
      </c>
      <c r="BA53" s="573">
        <f t="shared" si="94"/>
        <v>5455.4022606382978</v>
      </c>
      <c r="BB53" s="573">
        <f t="shared" si="94"/>
        <v>5455.4022606382978</v>
      </c>
      <c r="BC53" s="573">
        <f t="shared" si="94"/>
        <v>5455.4022606382978</v>
      </c>
      <c r="BD53" s="573">
        <f t="shared" si="94"/>
        <v>5455.4022606382978</v>
      </c>
      <c r="BE53" s="573">
        <f t="shared" si="94"/>
        <v>5455.4022606382978</v>
      </c>
      <c r="BF53" s="574">
        <f t="shared" si="94"/>
        <v>62651.269401620062</v>
      </c>
      <c r="BG53" s="573">
        <f t="shared" si="94"/>
        <v>5121.5205605564643</v>
      </c>
      <c r="BH53" s="573">
        <f t="shared" si="94"/>
        <v>5121.5205605564643</v>
      </c>
      <c r="BI53" s="573">
        <f t="shared" si="94"/>
        <v>5121.5205605564643</v>
      </c>
      <c r="BJ53" s="573">
        <f t="shared" si="94"/>
        <v>5121.5205605564643</v>
      </c>
      <c r="BK53" s="573">
        <f t="shared" si="94"/>
        <v>5121.5205605564643</v>
      </c>
      <c r="BL53" s="573">
        <f t="shared" si="94"/>
        <v>5121.5205605564643</v>
      </c>
      <c r="BM53" s="573">
        <f t="shared" si="94"/>
        <v>5121.5205605564643</v>
      </c>
      <c r="BN53" s="573">
        <f t="shared" si="94"/>
        <v>5121.5205605564643</v>
      </c>
      <c r="BO53" s="573">
        <f t="shared" si="94"/>
        <v>5121.5205605564643</v>
      </c>
      <c r="BP53" s="573">
        <f t="shared" si="94"/>
        <v>5121.5205605564643</v>
      </c>
      <c r="BQ53" s="573">
        <f t="shared" si="94"/>
        <v>5121.5205605564643</v>
      </c>
      <c r="BR53" s="573">
        <f t="shared" si="94"/>
        <v>5121.5205605564643</v>
      </c>
      <c r="BS53" s="574">
        <f t="shared" si="94"/>
        <v>61567.67167505667</v>
      </c>
    </row>
    <row r="54" spans="3:71">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5"/>
      <c r="AL54" s="575"/>
      <c r="AM54" s="575"/>
      <c r="AN54" s="575"/>
      <c r="AO54" s="575"/>
      <c r="AP54" s="575"/>
      <c r="AQ54" s="575"/>
      <c r="AR54" s="575"/>
      <c r="AS54" s="575"/>
      <c r="AT54" s="575"/>
      <c r="AU54" s="575"/>
      <c r="AV54" s="575"/>
      <c r="AW54" s="575"/>
      <c r="AX54" s="575"/>
      <c r="AY54" s="575"/>
      <c r="AZ54" s="575"/>
      <c r="BA54" s="575"/>
      <c r="BB54" s="575"/>
      <c r="BC54" s="575"/>
      <c r="BD54" s="575"/>
      <c r="BE54" s="575"/>
      <c r="BF54" s="575"/>
      <c r="BG54" s="575"/>
      <c r="BH54" s="575"/>
      <c r="BI54" s="575"/>
      <c r="BJ54" s="575"/>
      <c r="BK54" s="575"/>
      <c r="BL54" s="575"/>
      <c r="BM54" s="575"/>
      <c r="BN54" s="575"/>
      <c r="BO54" s="575"/>
      <c r="BP54" s="575"/>
      <c r="BQ54" s="575"/>
      <c r="BR54" s="575"/>
      <c r="BS54" s="575"/>
    </row>
    <row r="55" spans="3:71">
      <c r="D55" s="385"/>
      <c r="E55" s="385"/>
      <c r="F55" s="385"/>
      <c r="G55" s="385"/>
      <c r="H55" s="385"/>
      <c r="I55" s="385"/>
      <c r="J55" s="385"/>
      <c r="K55" s="385"/>
      <c r="L55" s="385"/>
      <c r="M55" s="385"/>
      <c r="N55" s="385"/>
      <c r="O55" s="385"/>
      <c r="P55" s="385"/>
      <c r="Q55" s="385"/>
      <c r="R55" s="385"/>
      <c r="S55" s="385"/>
      <c r="T55" s="385"/>
      <c r="U55" s="385"/>
      <c r="V55" s="385"/>
      <c r="W55" s="385"/>
      <c r="X55" s="385"/>
      <c r="Y55" s="385"/>
      <c r="Z55" s="385"/>
      <c r="AA55" s="385"/>
      <c r="AB55" s="385"/>
      <c r="AC55" s="385"/>
      <c r="AD55" s="385"/>
      <c r="AE55" s="385"/>
      <c r="AF55" s="385"/>
      <c r="AG55" s="385"/>
      <c r="AH55" s="385"/>
      <c r="AI55" s="385"/>
      <c r="AJ55" s="385"/>
      <c r="AK55" s="385"/>
      <c r="AL55" s="385"/>
      <c r="AM55" s="385"/>
      <c r="AN55" s="385"/>
      <c r="AO55" s="385"/>
      <c r="AP55" s="385"/>
      <c r="AQ55" s="385"/>
      <c r="AR55" s="385"/>
      <c r="AS55" s="385"/>
      <c r="AT55" s="385"/>
      <c r="AU55" s="385"/>
      <c r="AV55" s="385"/>
      <c r="AW55" s="385"/>
      <c r="AX55" s="385"/>
      <c r="AY55" s="385"/>
      <c r="AZ55" s="385"/>
      <c r="BA55" s="385"/>
      <c r="BB55" s="385"/>
      <c r="BC55" s="385"/>
      <c r="BD55" s="385"/>
      <c r="BE55" s="385"/>
      <c r="BF55" s="385"/>
      <c r="BG55" s="385"/>
      <c r="BH55" s="385"/>
      <c r="BI55" s="385"/>
      <c r="BJ55" s="385"/>
      <c r="BK55" s="385"/>
      <c r="BL55" s="385"/>
      <c r="BM55" s="385"/>
      <c r="BN55" s="385"/>
      <c r="BO55" s="385"/>
      <c r="BP55" s="385"/>
      <c r="BQ55" s="385"/>
      <c r="BR55" s="385"/>
      <c r="BS55" s="385"/>
    </row>
    <row r="56" spans="3:71">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575"/>
      <c r="BP56" s="575"/>
      <c r="BQ56" s="575"/>
      <c r="BR56" s="575"/>
      <c r="BS56" s="575"/>
    </row>
    <row r="57" spans="3:71">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row>
    <row r="58" spans="3:71">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1734A-FC79-47BB-BF17-274660091EE6}">
  <dimension ref="A1:BS61"/>
  <sheetViews>
    <sheetView zoomScale="60" zoomScaleNormal="60" workbookViewId="0">
      <pane xSplit="3" ySplit="7" topLeftCell="BH8" activePane="bottomRight" state="frozen"/>
      <selection activeCell="BA33" sqref="BA33"/>
      <selection pane="topRight" activeCell="BA33" sqref="BA33"/>
      <selection pane="bottomLeft" activeCell="BA33" sqref="BA33"/>
      <selection pane="bottomRight" activeCell="E46" sqref="E46"/>
    </sheetView>
  </sheetViews>
  <sheetFormatPr defaultRowHeight="16.2"/>
  <cols>
    <col min="1" max="1" width="15.5546875" style="512" customWidth="1"/>
    <col min="2" max="2" width="18.6640625" style="512" customWidth="1"/>
    <col min="3" max="3" width="84.44140625" style="512" customWidth="1"/>
    <col min="4" max="15" width="22.6640625" style="513" customWidth="1"/>
    <col min="16" max="16" width="25.21875" style="513" bestFit="1" customWidth="1"/>
    <col min="17" max="17" width="24.44140625" style="512" customWidth="1"/>
    <col min="18" max="21" width="18.21875" style="513" bestFit="1" customWidth="1"/>
    <col min="22" max="22" width="18.88671875" style="513" bestFit="1" customWidth="1"/>
    <col min="23" max="23" width="20" style="513" bestFit="1" customWidth="1"/>
    <col min="24" max="26" width="18.21875" style="513" bestFit="1" customWidth="1"/>
    <col min="27" max="28" width="19.6640625" style="513" bestFit="1" customWidth="1"/>
    <col min="29" max="29" width="20.88671875" style="513" bestFit="1" customWidth="1"/>
    <col min="30" max="30" width="26.33203125" style="513" bestFit="1" customWidth="1"/>
    <col min="31" max="31" width="24.44140625" style="512" customWidth="1"/>
    <col min="32" max="34" width="18.21875" style="513" bestFit="1" customWidth="1"/>
    <col min="35" max="35" width="19.6640625" style="513" bestFit="1" customWidth="1"/>
    <col min="36" max="39" width="19" style="513" bestFit="1" customWidth="1"/>
    <col min="40" max="41" width="20.88671875" style="513" bestFit="1" customWidth="1"/>
    <col min="42" max="42" width="20" style="513" bestFit="1" customWidth="1"/>
    <col min="43" max="43" width="22.109375" style="513" bestFit="1" customWidth="1"/>
    <col min="44" max="44" width="25.33203125" style="513" bestFit="1" customWidth="1"/>
    <col min="45" max="45" width="24.44140625" style="512" customWidth="1"/>
    <col min="46" max="57" width="22.6640625" style="513" customWidth="1"/>
    <col min="58" max="58" width="24.44140625" style="512" customWidth="1"/>
    <col min="59" max="59" width="19" style="513" bestFit="1" customWidth="1"/>
    <col min="60" max="62" width="18.21875" style="513" bestFit="1" customWidth="1"/>
    <col min="63" max="63" width="18.88671875" style="513" bestFit="1" customWidth="1"/>
    <col min="64" max="67" width="18.21875" style="513" bestFit="1" customWidth="1"/>
    <col min="68" max="69" width="19.6640625" style="513" bestFit="1" customWidth="1"/>
    <col min="70" max="70" width="20.88671875" style="513" bestFit="1" customWidth="1"/>
    <col min="71" max="71" width="24.44140625" style="512" customWidth="1"/>
    <col min="72" max="16384" width="8.88671875" style="513"/>
  </cols>
  <sheetData>
    <row r="1" spans="1:71">
      <c r="A1" s="512" t="s">
        <v>305</v>
      </c>
    </row>
    <row r="2" spans="1:71">
      <c r="A2" s="512" t="s">
        <v>306</v>
      </c>
    </row>
    <row r="3" spans="1:71">
      <c r="A3" s="512" t="s">
        <v>575</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4"/>
      <c r="BH3" s="514"/>
      <c r="BI3" s="514"/>
      <c r="BJ3" s="514"/>
      <c r="BK3" s="514"/>
      <c r="BL3" s="514"/>
      <c r="BM3" s="514"/>
      <c r="BN3" s="514"/>
      <c r="BO3" s="514"/>
      <c r="BP3" s="514"/>
      <c r="BQ3" s="514"/>
      <c r="BR3" s="515"/>
      <c r="BS3" s="515"/>
    </row>
    <row r="4" spans="1:71">
      <c r="A4" s="512" t="s">
        <v>628</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7"/>
      <c r="BG4" s="516"/>
      <c r="BH4" s="514"/>
      <c r="BI4" s="514"/>
      <c r="BJ4" s="514"/>
      <c r="BK4" s="514"/>
      <c r="BL4" s="514"/>
      <c r="BM4" s="514"/>
      <c r="BN4" s="514"/>
      <c r="BO4" s="514"/>
      <c r="BP4" s="514"/>
      <c r="BQ4" s="514"/>
      <c r="BR4" s="514"/>
      <c r="BS4" s="517"/>
    </row>
    <row r="5" spans="1:71" ht="16.8" thickBot="1">
      <c r="A5" s="512" t="s">
        <v>629</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7"/>
      <c r="BG5" s="514"/>
      <c r="BH5" s="514"/>
      <c r="BI5" s="514"/>
      <c r="BJ5" s="514"/>
      <c r="BK5" s="514"/>
      <c r="BL5" s="514"/>
      <c r="BM5" s="514"/>
      <c r="BN5" s="514"/>
      <c r="BO5" s="514"/>
      <c r="BP5" s="514"/>
      <c r="BQ5" s="514"/>
      <c r="BR5" s="514"/>
      <c r="BS5" s="517"/>
    </row>
    <row r="6" spans="1:71" s="512" customFormat="1" ht="16.8" thickBot="1">
      <c r="D6" s="518" t="s">
        <v>307</v>
      </c>
      <c r="E6" s="519"/>
      <c r="F6" s="519"/>
      <c r="G6" s="519"/>
      <c r="H6" s="519"/>
      <c r="I6" s="519"/>
      <c r="J6" s="519"/>
      <c r="K6" s="519"/>
      <c r="L6" s="519"/>
      <c r="M6" s="519"/>
      <c r="N6" s="519"/>
      <c r="O6" s="519"/>
      <c r="P6" s="519"/>
      <c r="Q6" s="520"/>
      <c r="R6" s="518" t="s">
        <v>385</v>
      </c>
      <c r="S6" s="519"/>
      <c r="T6" s="519"/>
      <c r="U6" s="519"/>
      <c r="V6" s="519"/>
      <c r="W6" s="519"/>
      <c r="X6" s="519"/>
      <c r="Y6" s="519"/>
      <c r="Z6" s="519"/>
      <c r="AA6" s="519"/>
      <c r="AB6" s="519"/>
      <c r="AC6" s="519"/>
      <c r="AD6" s="519"/>
      <c r="AE6" s="520"/>
      <c r="AF6" s="518" t="s">
        <v>390</v>
      </c>
      <c r="AG6" s="519"/>
      <c r="AH6" s="519"/>
      <c r="AI6" s="519"/>
      <c r="AJ6" s="519"/>
      <c r="AK6" s="519"/>
      <c r="AL6" s="519"/>
      <c r="AM6" s="519"/>
      <c r="AN6" s="519"/>
      <c r="AO6" s="519"/>
      <c r="AP6" s="519"/>
      <c r="AQ6" s="519"/>
      <c r="AR6" s="519"/>
      <c r="AS6" s="520"/>
      <c r="AT6" s="518" t="s">
        <v>564</v>
      </c>
      <c r="AU6" s="519"/>
      <c r="AV6" s="519"/>
      <c r="AW6" s="519"/>
      <c r="AX6" s="519"/>
      <c r="AY6" s="519"/>
      <c r="AZ6" s="519"/>
      <c r="BA6" s="519"/>
      <c r="BB6" s="519"/>
      <c r="BC6" s="519"/>
      <c r="BD6" s="519"/>
      <c r="BE6" s="519"/>
      <c r="BF6" s="520"/>
      <c r="BG6" s="518" t="s">
        <v>565</v>
      </c>
      <c r="BH6" s="519"/>
      <c r="BI6" s="519"/>
      <c r="BJ6" s="519"/>
      <c r="BK6" s="519"/>
      <c r="BL6" s="519"/>
      <c r="BM6" s="519"/>
      <c r="BN6" s="519"/>
      <c r="BO6" s="519"/>
      <c r="BP6" s="519"/>
      <c r="BQ6" s="519"/>
      <c r="BR6" s="519"/>
      <c r="BS6" s="520"/>
    </row>
    <row r="7" spans="1:71" s="512" customFormat="1">
      <c r="A7" s="521"/>
      <c r="B7" s="522" t="s">
        <v>308</v>
      </c>
      <c r="C7" s="523" t="s">
        <v>309</v>
      </c>
      <c r="D7" s="524" t="s">
        <v>310</v>
      </c>
      <c r="E7" s="525" t="s">
        <v>311</v>
      </c>
      <c r="F7" s="525" t="s">
        <v>312</v>
      </c>
      <c r="G7" s="525" t="s">
        <v>313</v>
      </c>
      <c r="H7" s="525" t="s">
        <v>314</v>
      </c>
      <c r="I7" s="525" t="s">
        <v>315</v>
      </c>
      <c r="J7" s="525" t="s">
        <v>316</v>
      </c>
      <c r="K7" s="525" t="s">
        <v>317</v>
      </c>
      <c r="L7" s="525" t="s">
        <v>318</v>
      </c>
      <c r="M7" s="525" t="s">
        <v>319</v>
      </c>
      <c r="N7" s="525" t="s">
        <v>320</v>
      </c>
      <c r="O7" s="525" t="s">
        <v>321</v>
      </c>
      <c r="P7" s="525" t="s">
        <v>373</v>
      </c>
      <c r="Q7" s="526" t="s">
        <v>322</v>
      </c>
      <c r="R7" s="524" t="s">
        <v>310</v>
      </c>
      <c r="S7" s="525" t="s">
        <v>311</v>
      </c>
      <c r="T7" s="525" t="s">
        <v>312</v>
      </c>
      <c r="U7" s="525" t="s">
        <v>313</v>
      </c>
      <c r="V7" s="525" t="s">
        <v>314</v>
      </c>
      <c r="W7" s="525" t="s">
        <v>315</v>
      </c>
      <c r="X7" s="525" t="s">
        <v>316</v>
      </c>
      <c r="Y7" s="525" t="s">
        <v>317</v>
      </c>
      <c r="Z7" s="525" t="s">
        <v>318</v>
      </c>
      <c r="AA7" s="525" t="s">
        <v>319</v>
      </c>
      <c r="AB7" s="525" t="s">
        <v>320</v>
      </c>
      <c r="AC7" s="525" t="s">
        <v>321</v>
      </c>
      <c r="AD7" s="525" t="s">
        <v>457</v>
      </c>
      <c r="AE7" s="526" t="s">
        <v>384</v>
      </c>
      <c r="AF7" s="524" t="s">
        <v>310</v>
      </c>
      <c r="AG7" s="525" t="s">
        <v>311</v>
      </c>
      <c r="AH7" s="525" t="s">
        <v>312</v>
      </c>
      <c r="AI7" s="525" t="s">
        <v>313</v>
      </c>
      <c r="AJ7" s="525" t="s">
        <v>314</v>
      </c>
      <c r="AK7" s="525" t="s">
        <v>315</v>
      </c>
      <c r="AL7" s="525" t="s">
        <v>316</v>
      </c>
      <c r="AM7" s="525" t="s">
        <v>317</v>
      </c>
      <c r="AN7" s="525" t="s">
        <v>318</v>
      </c>
      <c r="AO7" s="525" t="s">
        <v>319</v>
      </c>
      <c r="AP7" s="525" t="s">
        <v>320</v>
      </c>
      <c r="AQ7" s="525" t="s">
        <v>321</v>
      </c>
      <c r="AR7" s="525" t="s">
        <v>494</v>
      </c>
      <c r="AS7" s="526" t="s">
        <v>391</v>
      </c>
      <c r="AT7" s="524" t="s">
        <v>310</v>
      </c>
      <c r="AU7" s="525" t="s">
        <v>311</v>
      </c>
      <c r="AV7" s="525" t="s">
        <v>312</v>
      </c>
      <c r="AW7" s="525" t="s">
        <v>313</v>
      </c>
      <c r="AX7" s="525" t="s">
        <v>314</v>
      </c>
      <c r="AY7" s="525" t="s">
        <v>315</v>
      </c>
      <c r="AZ7" s="525" t="s">
        <v>316</v>
      </c>
      <c r="BA7" s="525" t="s">
        <v>317</v>
      </c>
      <c r="BB7" s="525" t="s">
        <v>318</v>
      </c>
      <c r="BC7" s="525" t="s">
        <v>319</v>
      </c>
      <c r="BD7" s="525" t="s">
        <v>320</v>
      </c>
      <c r="BE7" s="525" t="s">
        <v>321</v>
      </c>
      <c r="BF7" s="526" t="s">
        <v>566</v>
      </c>
      <c r="BG7" s="524" t="s">
        <v>310</v>
      </c>
      <c r="BH7" s="525" t="s">
        <v>311</v>
      </c>
      <c r="BI7" s="525" t="s">
        <v>312</v>
      </c>
      <c r="BJ7" s="525" t="s">
        <v>313</v>
      </c>
      <c r="BK7" s="525" t="s">
        <v>314</v>
      </c>
      <c r="BL7" s="525" t="s">
        <v>315</v>
      </c>
      <c r="BM7" s="525" t="s">
        <v>316</v>
      </c>
      <c r="BN7" s="525" t="s">
        <v>317</v>
      </c>
      <c r="BO7" s="525" t="s">
        <v>318</v>
      </c>
      <c r="BP7" s="525" t="s">
        <v>319</v>
      </c>
      <c r="BQ7" s="525" t="s">
        <v>320</v>
      </c>
      <c r="BR7" s="525" t="s">
        <v>321</v>
      </c>
      <c r="BS7" s="526" t="s">
        <v>567</v>
      </c>
    </row>
    <row r="8" spans="1:71">
      <c r="A8" s="527"/>
      <c r="B8" s="528" t="s">
        <v>323</v>
      </c>
      <c r="C8" s="529" t="s">
        <v>239</v>
      </c>
      <c r="D8" s="530">
        <v>40582237.074123427</v>
      </c>
      <c r="E8" s="531">
        <v>42436997.091877103</v>
      </c>
      <c r="F8" s="531">
        <v>42938428</v>
      </c>
      <c r="G8" s="531">
        <v>43083671</v>
      </c>
      <c r="H8" s="531">
        <v>42546166</v>
      </c>
      <c r="I8" s="531">
        <v>42649746</v>
      </c>
      <c r="J8" s="531">
        <v>42884290</v>
      </c>
      <c r="K8" s="531">
        <v>43091810</v>
      </c>
      <c r="L8" s="531">
        <v>43624029</v>
      </c>
      <c r="M8" s="531">
        <v>43801942.298371986</v>
      </c>
      <c r="N8" s="531">
        <v>43529617</v>
      </c>
      <c r="O8" s="531">
        <v>43170903.36060074</v>
      </c>
      <c r="P8" s="531">
        <f t="shared" ref="P8:P21" si="0">Q8-(D8+E8+F8+G8+H8+I8+J8+K8+L8+M8+N8+O8)</f>
        <v>112815969.15151334</v>
      </c>
      <c r="Q8" s="532">
        <v>627155805.97648656</v>
      </c>
      <c r="R8" s="530">
        <v>41637303</v>
      </c>
      <c r="S8" s="531">
        <v>43617912</v>
      </c>
      <c r="T8" s="531">
        <v>44448962</v>
      </c>
      <c r="U8" s="531">
        <v>44316876</v>
      </c>
      <c r="V8" s="531">
        <v>43717922</v>
      </c>
      <c r="W8" s="531">
        <v>43920676</v>
      </c>
      <c r="X8" s="531">
        <v>43565656</v>
      </c>
      <c r="Y8" s="531">
        <v>43999905</v>
      </c>
      <c r="Z8" s="531">
        <v>43658036.665152155</v>
      </c>
      <c r="AA8" s="531">
        <v>43480766</v>
      </c>
      <c r="AB8" s="531">
        <v>43826634</v>
      </c>
      <c r="AC8" s="531">
        <v>41513569</v>
      </c>
      <c r="AD8" s="531">
        <f t="shared" ref="AD8:AD20" si="1">AE8-(R8+S8+T8+U8+V8+W8+X8+Y8+Z8+AA8+AB8+AC8)</f>
        <v>45218488.334847867</v>
      </c>
      <c r="AE8" s="532">
        <v>566922706</v>
      </c>
      <c r="AF8" s="530">
        <v>42159043</v>
      </c>
      <c r="AG8" s="531">
        <v>44504438</v>
      </c>
      <c r="AH8" s="531">
        <v>45309741</v>
      </c>
      <c r="AI8" s="531">
        <v>56527320</v>
      </c>
      <c r="AJ8" s="531">
        <v>42789778</v>
      </c>
      <c r="AK8" s="531">
        <v>43187285</v>
      </c>
      <c r="AL8" s="531">
        <v>43711749.223817036</v>
      </c>
      <c r="AM8" s="531">
        <v>45077923</v>
      </c>
      <c r="AN8" s="531">
        <v>45892645.190200105</v>
      </c>
      <c r="AO8" s="531">
        <v>47190851</v>
      </c>
      <c r="AP8" s="531">
        <v>47695248</v>
      </c>
      <c r="AQ8" s="531">
        <v>48303514.067564972</v>
      </c>
      <c r="AR8" s="531">
        <f t="shared" ref="AR8:AR19" si="2">AS8-(AF8+AG8+AH8+AI8+AJ8+AK8+AL8+AM8+AN8+AO8+AP8+AQ8)</f>
        <v>-8836698.4815821648</v>
      </c>
      <c r="AS8" s="532">
        <v>543512837</v>
      </c>
      <c r="AT8" s="530">
        <v>41947155</v>
      </c>
      <c r="AU8" s="531">
        <v>46728063</v>
      </c>
      <c r="AV8" s="531">
        <v>46690348</v>
      </c>
      <c r="AW8" s="531">
        <v>46356231.583049938</v>
      </c>
      <c r="AX8" s="531">
        <f>(BF8-AT8-AU8-AV8-AW8)/8</f>
        <v>45293612.677118756</v>
      </c>
      <c r="AY8" s="531">
        <f t="shared" ref="AY8:BE16" si="3">AX8</f>
        <v>45293612.677118756</v>
      </c>
      <c r="AZ8" s="531">
        <f t="shared" si="3"/>
        <v>45293612.677118756</v>
      </c>
      <c r="BA8" s="531">
        <f t="shared" si="3"/>
        <v>45293612.677118756</v>
      </c>
      <c r="BB8" s="531">
        <f t="shared" si="3"/>
        <v>45293612.677118756</v>
      </c>
      <c r="BC8" s="531">
        <f t="shared" si="3"/>
        <v>45293612.677118756</v>
      </c>
      <c r="BD8" s="531">
        <f t="shared" si="3"/>
        <v>45293612.677118756</v>
      </c>
      <c r="BE8" s="531">
        <f t="shared" si="3"/>
        <v>45293612.677118756</v>
      </c>
      <c r="BF8" s="532">
        <v>544070699</v>
      </c>
      <c r="BG8" s="530">
        <f>BS8/12</f>
        <v>46867599.916666664</v>
      </c>
      <c r="BH8" s="531">
        <f>BG8</f>
        <v>46867599.916666664</v>
      </c>
      <c r="BI8" s="531">
        <f t="shared" ref="BI8:BR8" si="4">BH8</f>
        <v>46867599.916666664</v>
      </c>
      <c r="BJ8" s="531">
        <f t="shared" si="4"/>
        <v>46867599.916666664</v>
      </c>
      <c r="BK8" s="531">
        <f t="shared" si="4"/>
        <v>46867599.916666664</v>
      </c>
      <c r="BL8" s="531">
        <f t="shared" si="4"/>
        <v>46867599.916666664</v>
      </c>
      <c r="BM8" s="531">
        <f t="shared" si="4"/>
        <v>46867599.916666664</v>
      </c>
      <c r="BN8" s="531">
        <f t="shared" si="4"/>
        <v>46867599.916666664</v>
      </c>
      <c r="BO8" s="531">
        <f t="shared" si="4"/>
        <v>46867599.916666664</v>
      </c>
      <c r="BP8" s="531">
        <f t="shared" si="4"/>
        <v>46867599.916666664</v>
      </c>
      <c r="BQ8" s="531">
        <f t="shared" si="4"/>
        <v>46867599.916666664</v>
      </c>
      <c r="BR8" s="531">
        <f t="shared" si="4"/>
        <v>46867599.916666664</v>
      </c>
      <c r="BS8" s="532">
        <v>562411199</v>
      </c>
    </row>
    <row r="9" spans="1:71">
      <c r="A9" s="527"/>
      <c r="B9" s="528" t="s">
        <v>324</v>
      </c>
      <c r="C9" s="529" t="s">
        <v>240</v>
      </c>
      <c r="D9" s="530">
        <v>854200.57756613975</v>
      </c>
      <c r="E9" s="531">
        <v>856833.02</v>
      </c>
      <c r="F9" s="531">
        <v>838109</v>
      </c>
      <c r="G9" s="531">
        <v>1247525</v>
      </c>
      <c r="H9" s="531">
        <v>1290471</v>
      </c>
      <c r="I9" s="531">
        <v>1396022</v>
      </c>
      <c r="J9" s="531">
        <v>1420828</v>
      </c>
      <c r="K9" s="531">
        <v>1468046</v>
      </c>
      <c r="L9" s="531">
        <v>2930171</v>
      </c>
      <c r="M9" s="531">
        <v>1460392.205938</v>
      </c>
      <c r="N9" s="531">
        <v>1675593</v>
      </c>
      <c r="O9" s="531">
        <v>1557005.1490983795</v>
      </c>
      <c r="P9" s="531">
        <f t="shared" si="0"/>
        <v>-2131826.2400823198</v>
      </c>
      <c r="Q9" s="532">
        <v>14863369.712520201</v>
      </c>
      <c r="R9" s="530">
        <v>881355</v>
      </c>
      <c r="S9" s="531">
        <v>1121471</v>
      </c>
      <c r="T9" s="531">
        <v>1301315</v>
      </c>
      <c r="U9" s="531">
        <v>1270785</v>
      </c>
      <c r="V9" s="531">
        <v>1237328</v>
      </c>
      <c r="W9" s="531">
        <v>1571734</v>
      </c>
      <c r="X9" s="531">
        <v>1452016</v>
      </c>
      <c r="Y9" s="531">
        <v>2771967</v>
      </c>
      <c r="Z9" s="531">
        <v>4361099.7986560054</v>
      </c>
      <c r="AA9" s="531">
        <v>1365046</v>
      </c>
      <c r="AB9" s="531">
        <v>1691127</v>
      </c>
      <c r="AC9" s="531">
        <v>875016.01000000106</v>
      </c>
      <c r="AD9" s="531">
        <f t="shared" si="1"/>
        <v>-2378235.8086560071</v>
      </c>
      <c r="AE9" s="532">
        <v>17522024</v>
      </c>
      <c r="AF9" s="530">
        <v>894022</v>
      </c>
      <c r="AG9" s="531">
        <v>1210872</v>
      </c>
      <c r="AH9" s="531">
        <v>1368651</v>
      </c>
      <c r="AI9" s="531">
        <v>1437115</v>
      </c>
      <c r="AJ9" s="531">
        <v>1403603</v>
      </c>
      <c r="AK9" s="531">
        <v>1441153</v>
      </c>
      <c r="AL9" s="531">
        <v>1472524.6634559969</v>
      </c>
      <c r="AM9" s="531">
        <v>1525273</v>
      </c>
      <c r="AN9" s="531">
        <v>1722428.8733200012</v>
      </c>
      <c r="AO9" s="531">
        <v>1682750</v>
      </c>
      <c r="AP9" s="531">
        <v>1654860</v>
      </c>
      <c r="AQ9" s="531">
        <v>2256674.7992019979</v>
      </c>
      <c r="AR9" s="531">
        <f t="shared" si="2"/>
        <v>-1478980.3359779976</v>
      </c>
      <c r="AS9" s="532">
        <v>16590947</v>
      </c>
      <c r="AT9" s="530">
        <v>868168</v>
      </c>
      <c r="AU9" s="531">
        <v>1214183</v>
      </c>
      <c r="AV9" s="531">
        <v>1561497</v>
      </c>
      <c r="AW9" s="531">
        <v>1460707.5626049978</v>
      </c>
      <c r="AX9" s="531">
        <f t="shared" ref="AX9:AX19" si="5">(BF9-AT9-AU9-AV9-AW9)/8</f>
        <v>586002.80467437534</v>
      </c>
      <c r="AY9" s="531">
        <f t="shared" si="3"/>
        <v>586002.80467437534</v>
      </c>
      <c r="AZ9" s="531">
        <f t="shared" si="3"/>
        <v>586002.80467437534</v>
      </c>
      <c r="BA9" s="531">
        <f t="shared" si="3"/>
        <v>586002.80467437534</v>
      </c>
      <c r="BB9" s="531">
        <f t="shared" si="3"/>
        <v>586002.80467437534</v>
      </c>
      <c r="BC9" s="531">
        <f t="shared" si="3"/>
        <v>586002.80467437534</v>
      </c>
      <c r="BD9" s="531">
        <f t="shared" si="3"/>
        <v>586002.80467437534</v>
      </c>
      <c r="BE9" s="531">
        <f t="shared" si="3"/>
        <v>586002.80467437534</v>
      </c>
      <c r="BF9" s="532">
        <v>9792578</v>
      </c>
      <c r="BG9" s="530">
        <f t="shared" ref="BG9:BG20" si="6">BS9/12</f>
        <v>1443621.8333333333</v>
      </c>
      <c r="BH9" s="531">
        <f t="shared" ref="BH9:BR21" si="7">BG9</f>
        <v>1443621.8333333333</v>
      </c>
      <c r="BI9" s="531">
        <f t="shared" si="7"/>
        <v>1443621.8333333333</v>
      </c>
      <c r="BJ9" s="531">
        <f t="shared" si="7"/>
        <v>1443621.8333333333</v>
      </c>
      <c r="BK9" s="531">
        <f t="shared" si="7"/>
        <v>1443621.8333333333</v>
      </c>
      <c r="BL9" s="531">
        <f t="shared" si="7"/>
        <v>1443621.8333333333</v>
      </c>
      <c r="BM9" s="531">
        <f t="shared" si="7"/>
        <v>1443621.8333333333</v>
      </c>
      <c r="BN9" s="531">
        <f t="shared" si="7"/>
        <v>1443621.8333333333</v>
      </c>
      <c r="BO9" s="531">
        <f t="shared" si="7"/>
        <v>1443621.8333333333</v>
      </c>
      <c r="BP9" s="531">
        <f t="shared" si="7"/>
        <v>1443621.8333333333</v>
      </c>
      <c r="BQ9" s="531">
        <f t="shared" si="7"/>
        <v>1443621.8333333333</v>
      </c>
      <c r="BR9" s="531">
        <f t="shared" si="7"/>
        <v>1443621.8333333333</v>
      </c>
      <c r="BS9" s="532">
        <v>17323462</v>
      </c>
    </row>
    <row r="10" spans="1:71">
      <c r="A10" s="527"/>
      <c r="B10" s="528" t="s">
        <v>325</v>
      </c>
      <c r="C10" s="529" t="s">
        <v>241</v>
      </c>
      <c r="D10" s="530">
        <v>0</v>
      </c>
      <c r="E10" s="531">
        <v>999143</v>
      </c>
      <c r="F10" s="531">
        <v>296892</v>
      </c>
      <c r="G10" s="531">
        <v>726998</v>
      </c>
      <c r="H10" s="531">
        <v>346912</v>
      </c>
      <c r="I10" s="531">
        <v>402136</v>
      </c>
      <c r="J10" s="531">
        <v>1655006</v>
      </c>
      <c r="K10" s="531">
        <v>855143</v>
      </c>
      <c r="L10" s="531">
        <v>456922</v>
      </c>
      <c r="M10" s="531">
        <v>1171647.56</v>
      </c>
      <c r="N10" s="531">
        <v>749251</v>
      </c>
      <c r="O10" s="531">
        <v>-503112.47328665963</v>
      </c>
      <c r="P10" s="531">
        <f t="shared" si="0"/>
        <v>5254170.4589600647</v>
      </c>
      <c r="Q10" s="532">
        <v>12411108.545673406</v>
      </c>
      <c r="R10" s="530">
        <v>0</v>
      </c>
      <c r="S10" s="531">
        <v>3922</v>
      </c>
      <c r="T10" s="531">
        <v>917419</v>
      </c>
      <c r="U10" s="531">
        <v>449999</v>
      </c>
      <c r="V10" s="531">
        <v>502408</v>
      </c>
      <c r="W10" s="531">
        <v>5091</v>
      </c>
      <c r="X10" s="531">
        <v>445510</v>
      </c>
      <c r="Y10" s="531">
        <v>538064</v>
      </c>
      <c r="Z10" s="531">
        <v>873036.55999999994</v>
      </c>
      <c r="AA10" s="531">
        <v>496469</v>
      </c>
      <c r="AB10" s="531">
        <v>123966</v>
      </c>
      <c r="AC10" s="531">
        <v>741308.29999999981</v>
      </c>
      <c r="AD10" s="531">
        <f t="shared" si="1"/>
        <v>6042346.1399999997</v>
      </c>
      <c r="AE10" s="532">
        <v>11139539</v>
      </c>
      <c r="AF10" s="530">
        <v>0</v>
      </c>
      <c r="AG10" s="531">
        <v>269116</v>
      </c>
      <c r="AH10" s="531">
        <v>268704</v>
      </c>
      <c r="AI10" s="531">
        <v>319235</v>
      </c>
      <c r="AJ10" s="531">
        <v>286317</v>
      </c>
      <c r="AK10" s="531">
        <v>270263</v>
      </c>
      <c r="AL10" s="531">
        <v>268420.99</v>
      </c>
      <c r="AM10" s="531">
        <v>273726</v>
      </c>
      <c r="AN10" s="531">
        <v>5444650.9400000013</v>
      </c>
      <c r="AO10" s="531">
        <v>294682</v>
      </c>
      <c r="AP10" s="531">
        <v>-4857528</v>
      </c>
      <c r="AQ10" s="531">
        <v>315649.09999999998</v>
      </c>
      <c r="AR10" s="531">
        <f t="shared" si="2"/>
        <v>25154925.969999999</v>
      </c>
      <c r="AS10" s="532">
        <v>28308162</v>
      </c>
      <c r="AT10" s="530">
        <v>0</v>
      </c>
      <c r="AU10" s="531">
        <v>318848</v>
      </c>
      <c r="AV10" s="531">
        <v>223397</v>
      </c>
      <c r="AW10" s="531">
        <v>410894.48999999976</v>
      </c>
      <c r="AX10" s="531">
        <f t="shared" si="5"/>
        <v>1432246.1319591757</v>
      </c>
      <c r="AY10" s="531">
        <f t="shared" si="3"/>
        <v>1432246.1319591757</v>
      </c>
      <c r="AZ10" s="531">
        <f t="shared" si="3"/>
        <v>1432246.1319591757</v>
      </c>
      <c r="BA10" s="531">
        <f t="shared" si="3"/>
        <v>1432246.1319591757</v>
      </c>
      <c r="BB10" s="531">
        <f t="shared" si="3"/>
        <v>1432246.1319591757</v>
      </c>
      <c r="BC10" s="531">
        <f t="shared" si="3"/>
        <v>1432246.1319591757</v>
      </c>
      <c r="BD10" s="531">
        <f t="shared" si="3"/>
        <v>1432246.1319591757</v>
      </c>
      <c r="BE10" s="531">
        <f t="shared" si="3"/>
        <v>1432246.1319591757</v>
      </c>
      <c r="BF10" s="532">
        <v>12411108.545673406</v>
      </c>
      <c r="BG10" s="530">
        <f t="shared" si="6"/>
        <v>628523.33333333337</v>
      </c>
      <c r="BH10" s="531">
        <f t="shared" si="7"/>
        <v>628523.33333333337</v>
      </c>
      <c r="BI10" s="531">
        <f t="shared" si="7"/>
        <v>628523.33333333337</v>
      </c>
      <c r="BJ10" s="531">
        <f t="shared" si="7"/>
        <v>628523.33333333337</v>
      </c>
      <c r="BK10" s="531">
        <f t="shared" si="7"/>
        <v>628523.33333333337</v>
      </c>
      <c r="BL10" s="531">
        <f t="shared" si="7"/>
        <v>628523.33333333337</v>
      </c>
      <c r="BM10" s="531">
        <f t="shared" si="7"/>
        <v>628523.33333333337</v>
      </c>
      <c r="BN10" s="531">
        <f t="shared" si="7"/>
        <v>628523.33333333337</v>
      </c>
      <c r="BO10" s="531">
        <f t="shared" si="7"/>
        <v>628523.33333333337</v>
      </c>
      <c r="BP10" s="531">
        <f t="shared" si="7"/>
        <v>628523.33333333337</v>
      </c>
      <c r="BQ10" s="531">
        <f t="shared" si="7"/>
        <v>628523.33333333337</v>
      </c>
      <c r="BR10" s="531">
        <f t="shared" si="7"/>
        <v>628523.33333333337</v>
      </c>
      <c r="BS10" s="532">
        <v>7542280</v>
      </c>
    </row>
    <row r="11" spans="1:71">
      <c r="A11" s="527"/>
      <c r="B11" s="528" t="s">
        <v>326</v>
      </c>
      <c r="C11" s="529" t="s">
        <v>242</v>
      </c>
      <c r="D11" s="530">
        <v>0</v>
      </c>
      <c r="E11" s="531">
        <v>0</v>
      </c>
      <c r="F11" s="531">
        <v>0</v>
      </c>
      <c r="G11" s="531">
        <v>0</v>
      </c>
      <c r="H11" s="531">
        <v>0</v>
      </c>
      <c r="I11" s="531">
        <v>0</v>
      </c>
      <c r="J11" s="531">
        <v>0</v>
      </c>
      <c r="K11" s="531">
        <v>0</v>
      </c>
      <c r="L11" s="531">
        <v>367</v>
      </c>
      <c r="M11" s="531">
        <v>0</v>
      </c>
      <c r="N11" s="531">
        <v>0</v>
      </c>
      <c r="O11" s="531">
        <v>0</v>
      </c>
      <c r="P11" s="531">
        <f t="shared" si="0"/>
        <v>-367</v>
      </c>
      <c r="Q11" s="532">
        <v>0</v>
      </c>
      <c r="R11" s="530">
        <v>0</v>
      </c>
      <c r="S11" s="531">
        <v>0</v>
      </c>
      <c r="T11" s="531">
        <f t="shared" ref="T11" si="8">(AE11-R11-S11)/10</f>
        <v>0</v>
      </c>
      <c r="U11" s="531">
        <f t="shared" ref="U11" si="9">(AE11-R11-S11-T11)/9</f>
        <v>0</v>
      </c>
      <c r="V11" s="531">
        <v>0</v>
      </c>
      <c r="W11" s="531">
        <f t="shared" ref="W11" si="10">(AE11-R11-S11-T11-U11-V11)/7</f>
        <v>0</v>
      </c>
      <c r="X11" s="531">
        <f t="shared" ref="X11" si="11">(AE11-D11-E11-F11-G11-H11-I11)/6</f>
        <v>0</v>
      </c>
      <c r="Y11" s="531">
        <f t="shared" ref="Y11" si="12">(AE11-R11-S11-T11-U11-V11-W11-X11)/5</f>
        <v>0</v>
      </c>
      <c r="Z11" s="531">
        <f t="shared" ref="Z11" si="13">(AE11-R11-S11-T11-U11-V11-W11-X11-Y11)/4</f>
        <v>0</v>
      </c>
      <c r="AA11" s="531">
        <f t="shared" ref="AA11" si="14">(AE11-R11-S11-T11-U11-V11-W11-X11-Y11-Z11)/3</f>
        <v>0</v>
      </c>
      <c r="AB11" s="531">
        <f t="shared" ref="AB11" si="15">(AE11-R11-S11-T11-U11-V11-W11-X11-Y11-Z11-AA11)/2</f>
        <v>0</v>
      </c>
      <c r="AC11" s="531">
        <v>0</v>
      </c>
      <c r="AD11" s="531">
        <f t="shared" si="1"/>
        <v>0</v>
      </c>
      <c r="AE11" s="532">
        <v>0</v>
      </c>
      <c r="AF11" s="530">
        <f t="shared" ref="AF11" si="16">AS11/12</f>
        <v>0</v>
      </c>
      <c r="AG11" s="531">
        <v>0</v>
      </c>
      <c r="AH11" s="531">
        <f t="shared" ref="AH11" si="17">(AS11-AF11-AG11)/10</f>
        <v>0</v>
      </c>
      <c r="AI11" s="531">
        <f t="shared" ref="AI11" si="18">(AS11-AF11-AG11-AH11)/9</f>
        <v>0</v>
      </c>
      <c r="AJ11" s="531">
        <f t="shared" ref="AJ11:AJ39" si="19">(AS11-AF11-AG11-AH11-AI11)/8</f>
        <v>0</v>
      </c>
      <c r="AK11" s="531">
        <f t="shared" ref="AK11" si="20">(AS11-AF11-AG11-AH11-AI11-AJ11)/7</f>
        <v>0</v>
      </c>
      <c r="AL11" s="531">
        <v>0</v>
      </c>
      <c r="AM11" s="531">
        <f t="shared" ref="AM11" si="21">(AS11-AF11-AG11-AH11-AI11-AJ11-AK11-AL11)/5</f>
        <v>0</v>
      </c>
      <c r="AN11" s="531">
        <v>0</v>
      </c>
      <c r="AO11" s="531">
        <f t="shared" ref="AO11" si="22">(AS11-AF11-AG11-AH11-AI11-AJ11-AK11-AL11--AM11-AN11)/3</f>
        <v>0</v>
      </c>
      <c r="AP11" s="531">
        <f t="shared" ref="AP11" si="23">(AS11-AF11-AG11-AH11-AI11-AJ11-AK11-AL11-AM11-AN11-AO11)/2</f>
        <v>0</v>
      </c>
      <c r="AQ11" s="531">
        <v>0</v>
      </c>
      <c r="AR11" s="531">
        <f t="shared" si="2"/>
        <v>0</v>
      </c>
      <c r="AS11" s="532">
        <v>0</v>
      </c>
      <c r="AT11" s="530">
        <v>0</v>
      </c>
      <c r="AU11" s="531">
        <v>0</v>
      </c>
      <c r="AV11" s="531">
        <v>0</v>
      </c>
      <c r="AW11" s="531">
        <v>0</v>
      </c>
      <c r="AX11" s="531">
        <f t="shared" si="5"/>
        <v>488991.625</v>
      </c>
      <c r="AY11" s="531">
        <f t="shared" si="3"/>
        <v>488991.625</v>
      </c>
      <c r="AZ11" s="531">
        <f t="shared" si="3"/>
        <v>488991.625</v>
      </c>
      <c r="BA11" s="531">
        <f t="shared" si="3"/>
        <v>488991.625</v>
      </c>
      <c r="BB11" s="531">
        <f t="shared" si="3"/>
        <v>488991.625</v>
      </c>
      <c r="BC11" s="531">
        <f t="shared" si="3"/>
        <v>488991.625</v>
      </c>
      <c r="BD11" s="531">
        <f t="shared" si="3"/>
        <v>488991.625</v>
      </c>
      <c r="BE11" s="531">
        <f t="shared" si="3"/>
        <v>488991.625</v>
      </c>
      <c r="BF11" s="532">
        <v>3911933</v>
      </c>
      <c r="BG11" s="530">
        <f t="shared" si="6"/>
        <v>0</v>
      </c>
      <c r="BH11" s="531">
        <f t="shared" si="7"/>
        <v>0</v>
      </c>
      <c r="BI11" s="531">
        <f t="shared" si="7"/>
        <v>0</v>
      </c>
      <c r="BJ11" s="531">
        <f t="shared" si="7"/>
        <v>0</v>
      </c>
      <c r="BK11" s="531">
        <f t="shared" si="7"/>
        <v>0</v>
      </c>
      <c r="BL11" s="531">
        <f t="shared" si="7"/>
        <v>0</v>
      </c>
      <c r="BM11" s="531">
        <f t="shared" si="7"/>
        <v>0</v>
      </c>
      <c r="BN11" s="531">
        <f t="shared" si="7"/>
        <v>0</v>
      </c>
      <c r="BO11" s="531">
        <f t="shared" si="7"/>
        <v>0</v>
      </c>
      <c r="BP11" s="531">
        <f t="shared" si="7"/>
        <v>0</v>
      </c>
      <c r="BQ11" s="531">
        <f t="shared" si="7"/>
        <v>0</v>
      </c>
      <c r="BR11" s="531">
        <f t="shared" si="7"/>
        <v>0</v>
      </c>
      <c r="BS11" s="532">
        <v>0</v>
      </c>
    </row>
    <row r="12" spans="1:71">
      <c r="A12" s="527"/>
      <c r="B12" s="528" t="s">
        <v>327</v>
      </c>
      <c r="C12" s="529" t="s">
        <v>243</v>
      </c>
      <c r="D12" s="530">
        <v>0</v>
      </c>
      <c r="E12" s="531">
        <v>962.87</v>
      </c>
      <c r="F12" s="531">
        <v>1621</v>
      </c>
      <c r="G12" s="531">
        <v>24679</v>
      </c>
      <c r="H12" s="531">
        <v>13376</v>
      </c>
      <c r="I12" s="531">
        <v>5635</v>
      </c>
      <c r="J12" s="531">
        <v>17371</v>
      </c>
      <c r="K12" s="531">
        <v>19207</v>
      </c>
      <c r="L12" s="531">
        <v>30034</v>
      </c>
      <c r="M12" s="531">
        <v>19830.716541999998</v>
      </c>
      <c r="N12" s="531">
        <v>28267</v>
      </c>
      <c r="O12" s="531">
        <v>6330.0845618399944</v>
      </c>
      <c r="P12" s="531">
        <f t="shared" si="0"/>
        <v>-66474.347019668727</v>
      </c>
      <c r="Q12" s="532">
        <v>100839.32408417127</v>
      </c>
      <c r="R12" s="530">
        <v>9943</v>
      </c>
      <c r="S12" s="531">
        <v>14735</v>
      </c>
      <c r="T12" s="531">
        <v>16737</v>
      </c>
      <c r="U12" s="531">
        <v>7255</v>
      </c>
      <c r="V12" s="531">
        <v>26222</v>
      </c>
      <c r="W12" s="531">
        <v>9521</v>
      </c>
      <c r="X12" s="531">
        <v>30656</v>
      </c>
      <c r="Y12" s="531">
        <v>464902</v>
      </c>
      <c r="Z12" s="531">
        <v>70394.651583999934</v>
      </c>
      <c r="AA12" s="531">
        <v>20653</v>
      </c>
      <c r="AB12" s="531">
        <v>79080</v>
      </c>
      <c r="AC12" s="531">
        <v>703537</v>
      </c>
      <c r="AD12" s="531">
        <f t="shared" si="1"/>
        <v>-1345806.6515839999</v>
      </c>
      <c r="AE12" s="532">
        <v>107829</v>
      </c>
      <c r="AF12" s="530">
        <v>6110</v>
      </c>
      <c r="AG12" s="531">
        <v>179772</v>
      </c>
      <c r="AH12" s="531">
        <v>130771</v>
      </c>
      <c r="AI12" s="531">
        <v>63171</v>
      </c>
      <c r="AJ12" s="531">
        <v>16281</v>
      </c>
      <c r="AK12" s="531">
        <v>47365</v>
      </c>
      <c r="AL12" s="531">
        <v>17021.066386999963</v>
      </c>
      <c r="AM12" s="531">
        <v>18554</v>
      </c>
      <c r="AN12" s="531">
        <v>32492.605499999991</v>
      </c>
      <c r="AO12" s="531">
        <v>12178</v>
      </c>
      <c r="AP12" s="531">
        <v>3193</v>
      </c>
      <c r="AQ12" s="531">
        <v>11130.499713000001</v>
      </c>
      <c r="AR12" s="531">
        <f t="shared" si="2"/>
        <v>-513629.1716</v>
      </c>
      <c r="AS12" s="532">
        <v>24410</v>
      </c>
      <c r="AT12" s="530">
        <v>351</v>
      </c>
      <c r="AU12" s="531">
        <v>4743</v>
      </c>
      <c r="AV12" s="531">
        <v>5838</v>
      </c>
      <c r="AW12" s="531">
        <v>8896.355899999995</v>
      </c>
      <c r="AX12" s="531">
        <f t="shared" si="5"/>
        <v>12132.080512500001</v>
      </c>
      <c r="AY12" s="531">
        <f t="shared" si="3"/>
        <v>12132.080512500001</v>
      </c>
      <c r="AZ12" s="531">
        <f t="shared" si="3"/>
        <v>12132.080512500001</v>
      </c>
      <c r="BA12" s="531">
        <f t="shared" si="3"/>
        <v>12132.080512500001</v>
      </c>
      <c r="BB12" s="531">
        <f t="shared" si="3"/>
        <v>12132.080512500001</v>
      </c>
      <c r="BC12" s="531">
        <f t="shared" si="3"/>
        <v>12132.080512500001</v>
      </c>
      <c r="BD12" s="531">
        <f t="shared" si="3"/>
        <v>12132.080512500001</v>
      </c>
      <c r="BE12" s="531">
        <f t="shared" si="3"/>
        <v>12132.080512500001</v>
      </c>
      <c r="BF12" s="532">
        <v>116885</v>
      </c>
      <c r="BG12" s="530">
        <f t="shared" si="6"/>
        <v>8557.75</v>
      </c>
      <c r="BH12" s="531">
        <f t="shared" si="7"/>
        <v>8557.75</v>
      </c>
      <c r="BI12" s="531">
        <f t="shared" si="7"/>
        <v>8557.75</v>
      </c>
      <c r="BJ12" s="531">
        <f t="shared" si="7"/>
        <v>8557.75</v>
      </c>
      <c r="BK12" s="531">
        <f t="shared" si="7"/>
        <v>8557.75</v>
      </c>
      <c r="BL12" s="531">
        <f t="shared" si="7"/>
        <v>8557.75</v>
      </c>
      <c r="BM12" s="531">
        <f t="shared" si="7"/>
        <v>8557.75</v>
      </c>
      <c r="BN12" s="531">
        <f t="shared" si="7"/>
        <v>8557.75</v>
      </c>
      <c r="BO12" s="531">
        <f t="shared" si="7"/>
        <v>8557.75</v>
      </c>
      <c r="BP12" s="531">
        <f t="shared" si="7"/>
        <v>8557.75</v>
      </c>
      <c r="BQ12" s="531">
        <f t="shared" si="7"/>
        <v>8557.75</v>
      </c>
      <c r="BR12" s="531">
        <f t="shared" si="7"/>
        <v>8557.75</v>
      </c>
      <c r="BS12" s="532">
        <v>102693</v>
      </c>
    </row>
    <row r="13" spans="1:71">
      <c r="A13" s="527"/>
      <c r="B13" s="528" t="s">
        <v>328</v>
      </c>
      <c r="C13" s="529" t="s">
        <v>244</v>
      </c>
      <c r="D13" s="530">
        <v>0</v>
      </c>
      <c r="E13" s="531">
        <v>0</v>
      </c>
      <c r="F13" s="531">
        <v>0</v>
      </c>
      <c r="G13" s="531">
        <v>501809</v>
      </c>
      <c r="H13" s="531">
        <v>17689</v>
      </c>
      <c r="I13" s="531">
        <v>1112197</v>
      </c>
      <c r="J13" s="531">
        <v>18254</v>
      </c>
      <c r="K13" s="531">
        <v>652360</v>
      </c>
      <c r="L13" s="531">
        <v>1231098</v>
      </c>
      <c r="M13" s="531">
        <v>79122.922318000012</v>
      </c>
      <c r="N13" s="531">
        <v>1973826</v>
      </c>
      <c r="O13" s="531">
        <v>74172.210214959981</v>
      </c>
      <c r="P13" s="531">
        <f t="shared" si="0"/>
        <v>-5655987.3550012494</v>
      </c>
      <c r="Q13" s="532">
        <v>4540.7775317118003</v>
      </c>
      <c r="R13" s="530">
        <v>1674</v>
      </c>
      <c r="S13" s="531">
        <v>788492</v>
      </c>
      <c r="T13" s="531">
        <v>102941</v>
      </c>
      <c r="U13" s="531">
        <v>526467</v>
      </c>
      <c r="V13" s="531">
        <v>1080800</v>
      </c>
      <c r="W13" s="531">
        <v>79192</v>
      </c>
      <c r="X13" s="531">
        <v>610085</v>
      </c>
      <c r="Y13" s="531">
        <v>1126322</v>
      </c>
      <c r="Z13" s="531">
        <v>864150.37662399956</v>
      </c>
      <c r="AA13" s="531">
        <v>407726</v>
      </c>
      <c r="AB13" s="531">
        <v>686294</v>
      </c>
      <c r="AC13" s="531">
        <v>11</v>
      </c>
      <c r="AD13" s="531">
        <f t="shared" si="1"/>
        <v>1340537.6233760007</v>
      </c>
      <c r="AE13" s="532">
        <v>7614692</v>
      </c>
      <c r="AF13" s="530">
        <v>613031</v>
      </c>
      <c r="AG13" s="531">
        <v>636848</v>
      </c>
      <c r="AH13" s="531">
        <v>20024</v>
      </c>
      <c r="AI13" s="531">
        <v>30541</v>
      </c>
      <c r="AJ13" s="531">
        <v>14024</v>
      </c>
      <c r="AK13" s="531">
        <v>2220840</v>
      </c>
      <c r="AL13" s="531">
        <v>428471.17241599993</v>
      </c>
      <c r="AM13" s="531">
        <v>220539</v>
      </c>
      <c r="AN13" s="531">
        <v>1862602.9400799994</v>
      </c>
      <c r="AO13" s="531">
        <v>13205</v>
      </c>
      <c r="AP13" s="531">
        <v>909101</v>
      </c>
      <c r="AQ13" s="531">
        <v>24534.906656999992</v>
      </c>
      <c r="AR13" s="531">
        <f t="shared" si="2"/>
        <v>825384.98084700108</v>
      </c>
      <c r="AS13" s="532">
        <v>7819147</v>
      </c>
      <c r="AT13" s="530">
        <v>587351</v>
      </c>
      <c r="AU13" s="531">
        <f>1241600-2705892</f>
        <v>-1464292</v>
      </c>
      <c r="AV13" s="531">
        <v>77627</v>
      </c>
      <c r="AW13" s="531">
        <v>533514.76561999973</v>
      </c>
      <c r="AX13" s="531">
        <f t="shared" si="5"/>
        <v>33675.404297500034</v>
      </c>
      <c r="AY13" s="531">
        <f t="shared" si="3"/>
        <v>33675.404297500034</v>
      </c>
      <c r="AZ13" s="531">
        <f t="shared" si="3"/>
        <v>33675.404297500034</v>
      </c>
      <c r="BA13" s="531">
        <f t="shared" si="3"/>
        <v>33675.404297500034</v>
      </c>
      <c r="BB13" s="531">
        <f t="shared" si="3"/>
        <v>33675.404297500034</v>
      </c>
      <c r="BC13" s="531">
        <f t="shared" si="3"/>
        <v>33675.404297500034</v>
      </c>
      <c r="BD13" s="531">
        <f t="shared" si="3"/>
        <v>33675.404297500034</v>
      </c>
      <c r="BE13" s="531">
        <f t="shared" si="3"/>
        <v>33675.404297500034</v>
      </c>
      <c r="BF13" s="532">
        <v>3604</v>
      </c>
      <c r="BG13" s="530">
        <f t="shared" si="6"/>
        <v>735390</v>
      </c>
      <c r="BH13" s="531">
        <f t="shared" si="7"/>
        <v>735390</v>
      </c>
      <c r="BI13" s="531">
        <f t="shared" si="7"/>
        <v>735390</v>
      </c>
      <c r="BJ13" s="531">
        <f t="shared" si="7"/>
        <v>735390</v>
      </c>
      <c r="BK13" s="531">
        <f t="shared" si="7"/>
        <v>735390</v>
      </c>
      <c r="BL13" s="531">
        <f t="shared" si="7"/>
        <v>735390</v>
      </c>
      <c r="BM13" s="531">
        <f t="shared" si="7"/>
        <v>735390</v>
      </c>
      <c r="BN13" s="531">
        <f t="shared" si="7"/>
        <v>735390</v>
      </c>
      <c r="BO13" s="531">
        <f t="shared" si="7"/>
        <v>735390</v>
      </c>
      <c r="BP13" s="531">
        <f t="shared" si="7"/>
        <v>735390</v>
      </c>
      <c r="BQ13" s="531">
        <f t="shared" si="7"/>
        <v>735390</v>
      </c>
      <c r="BR13" s="531">
        <f t="shared" si="7"/>
        <v>735390</v>
      </c>
      <c r="BS13" s="532">
        <v>8824680</v>
      </c>
    </row>
    <row r="14" spans="1:71">
      <c r="A14" s="527"/>
      <c r="B14" s="528" t="s">
        <v>329</v>
      </c>
      <c r="C14" s="529" t="s">
        <v>245</v>
      </c>
      <c r="D14" s="530">
        <v>167700.57594710001</v>
      </c>
      <c r="E14" s="531">
        <v>3711507.0300000012</v>
      </c>
      <c r="F14" s="531">
        <v>3993235</v>
      </c>
      <c r="G14" s="531">
        <v>3377515</v>
      </c>
      <c r="H14" s="531">
        <v>4157477</v>
      </c>
      <c r="I14" s="531">
        <v>4342554</v>
      </c>
      <c r="J14" s="531">
        <v>4837129</v>
      </c>
      <c r="K14" s="531">
        <v>4371639</v>
      </c>
      <c r="L14" s="531">
        <v>5356069</v>
      </c>
      <c r="M14" s="531">
        <v>4598757.0550859999</v>
      </c>
      <c r="N14" s="531">
        <v>5196676</v>
      </c>
      <c r="O14" s="531">
        <v>4688612.0910538109</v>
      </c>
      <c r="P14" s="531">
        <f t="shared" si="0"/>
        <v>18874406.247913085</v>
      </c>
      <c r="Q14" s="532">
        <v>67673277</v>
      </c>
      <c r="R14" s="530">
        <v>297425</v>
      </c>
      <c r="S14" s="531">
        <v>3699192</v>
      </c>
      <c r="T14" s="531">
        <v>4996705</v>
      </c>
      <c r="U14" s="531">
        <v>3997036</v>
      </c>
      <c r="V14" s="531">
        <v>4658755</v>
      </c>
      <c r="W14" s="531">
        <v>4521655</v>
      </c>
      <c r="X14" s="531">
        <v>4878687</v>
      </c>
      <c r="Y14" s="531">
        <v>3457621</v>
      </c>
      <c r="Z14" s="531">
        <v>2024855.8327680039</v>
      </c>
      <c r="AA14" s="531">
        <v>2242450</v>
      </c>
      <c r="AB14" s="531">
        <v>2722745</v>
      </c>
      <c r="AC14" s="531">
        <v>2215949</v>
      </c>
      <c r="AD14" s="531">
        <f t="shared" si="1"/>
        <v>16417406.167231992</v>
      </c>
      <c r="AE14" s="532">
        <v>56130482</v>
      </c>
      <c r="AF14" s="530">
        <v>353357</v>
      </c>
      <c r="AG14" s="531">
        <v>2857649</v>
      </c>
      <c r="AH14" s="531">
        <v>2764176</v>
      </c>
      <c r="AI14" s="531">
        <v>3126824</v>
      </c>
      <c r="AJ14" s="531">
        <v>2863719</v>
      </c>
      <c r="AK14" s="531">
        <v>2380696</v>
      </c>
      <c r="AL14" s="531">
        <v>3000650.0944330124</v>
      </c>
      <c r="AM14" s="531">
        <v>3780740</v>
      </c>
      <c r="AN14" s="531">
        <v>3606554.2389900023</v>
      </c>
      <c r="AO14" s="531">
        <v>3352575</v>
      </c>
      <c r="AP14" s="531">
        <v>3787484</v>
      </c>
      <c r="AQ14" s="531">
        <v>2942635.5032589962</v>
      </c>
      <c r="AR14" s="531">
        <f t="shared" si="2"/>
        <v>10122546.163317986</v>
      </c>
      <c r="AS14" s="532">
        <v>44939606</v>
      </c>
      <c r="AT14" s="530">
        <v>93104</v>
      </c>
      <c r="AU14" s="531">
        <v>3093500</v>
      </c>
      <c r="AV14" s="531">
        <f>3499831</f>
        <v>3499831</v>
      </c>
      <c r="AW14" s="531">
        <v>4214346.2532549985</v>
      </c>
      <c r="AX14" s="531">
        <f t="shared" si="5"/>
        <v>5035725.8433431257</v>
      </c>
      <c r="AY14" s="531">
        <f t="shared" si="3"/>
        <v>5035725.8433431257</v>
      </c>
      <c r="AZ14" s="531">
        <f t="shared" si="3"/>
        <v>5035725.8433431257</v>
      </c>
      <c r="BA14" s="531">
        <f t="shared" si="3"/>
        <v>5035725.8433431257</v>
      </c>
      <c r="BB14" s="531">
        <f t="shared" si="3"/>
        <v>5035725.8433431257</v>
      </c>
      <c r="BC14" s="531">
        <f t="shared" si="3"/>
        <v>5035725.8433431257</v>
      </c>
      <c r="BD14" s="531">
        <f t="shared" si="3"/>
        <v>5035725.8433431257</v>
      </c>
      <c r="BE14" s="531">
        <f t="shared" si="3"/>
        <v>5035725.8433431257</v>
      </c>
      <c r="BF14" s="532">
        <v>51186588</v>
      </c>
      <c r="BG14" s="530">
        <f t="shared" si="6"/>
        <v>4349518.583333333</v>
      </c>
      <c r="BH14" s="531">
        <f t="shared" si="7"/>
        <v>4349518.583333333</v>
      </c>
      <c r="BI14" s="531">
        <f t="shared" si="7"/>
        <v>4349518.583333333</v>
      </c>
      <c r="BJ14" s="531">
        <f t="shared" si="7"/>
        <v>4349518.583333333</v>
      </c>
      <c r="BK14" s="531">
        <f t="shared" si="7"/>
        <v>4349518.583333333</v>
      </c>
      <c r="BL14" s="531">
        <f t="shared" si="7"/>
        <v>4349518.583333333</v>
      </c>
      <c r="BM14" s="531">
        <f t="shared" si="7"/>
        <v>4349518.583333333</v>
      </c>
      <c r="BN14" s="531">
        <f t="shared" si="7"/>
        <v>4349518.583333333</v>
      </c>
      <c r="BO14" s="531">
        <f t="shared" si="7"/>
        <v>4349518.583333333</v>
      </c>
      <c r="BP14" s="531">
        <f t="shared" si="7"/>
        <v>4349518.583333333</v>
      </c>
      <c r="BQ14" s="531">
        <f t="shared" si="7"/>
        <v>4349518.583333333</v>
      </c>
      <c r="BR14" s="531">
        <f t="shared" si="7"/>
        <v>4349518.583333333</v>
      </c>
      <c r="BS14" s="532">
        <v>52194223</v>
      </c>
    </row>
    <row r="15" spans="1:71" s="536" customFormat="1">
      <c r="A15" s="533"/>
      <c r="B15" s="521" t="s">
        <v>330</v>
      </c>
      <c r="C15" s="534" t="s">
        <v>246</v>
      </c>
      <c r="D15" s="530">
        <v>0</v>
      </c>
      <c r="E15" s="535">
        <v>73.900000000000006</v>
      </c>
      <c r="F15" s="531">
        <v>0</v>
      </c>
      <c r="G15" s="531">
        <v>7467</v>
      </c>
      <c r="H15" s="531">
        <v>53</v>
      </c>
      <c r="I15" s="531">
        <v>9628</v>
      </c>
      <c r="J15" s="531">
        <v>6304</v>
      </c>
      <c r="K15" s="531">
        <v>5526</v>
      </c>
      <c r="L15" s="531">
        <v>29483</v>
      </c>
      <c r="M15" s="531">
        <v>0</v>
      </c>
      <c r="N15" s="531">
        <v>6658</v>
      </c>
      <c r="O15" s="531">
        <v>9030</v>
      </c>
      <c r="P15" s="531">
        <f t="shared" si="0"/>
        <v>32307.765755205706</v>
      </c>
      <c r="Q15" s="532">
        <v>106530.6657552057</v>
      </c>
      <c r="R15" s="530">
        <v>3488</v>
      </c>
      <c r="S15" s="531">
        <v>3508</v>
      </c>
      <c r="T15" s="531">
        <v>25838</v>
      </c>
      <c r="U15" s="531">
        <v>1825</v>
      </c>
      <c r="V15" s="531">
        <v>11186</v>
      </c>
      <c r="W15" s="531">
        <v>25429</v>
      </c>
      <c r="X15" s="531">
        <v>1170</v>
      </c>
      <c r="Y15" s="531">
        <v>6344</v>
      </c>
      <c r="Z15" s="531">
        <v>1054.3141440000006</v>
      </c>
      <c r="AA15" s="531">
        <v>1929</v>
      </c>
      <c r="AB15" s="531">
        <v>1873</v>
      </c>
      <c r="AC15" s="531">
        <v>500</v>
      </c>
      <c r="AD15" s="531">
        <f t="shared" si="1"/>
        <v>57493.685855999996</v>
      </c>
      <c r="AE15" s="532">
        <v>141638</v>
      </c>
      <c r="AF15" s="530">
        <v>0</v>
      </c>
      <c r="AG15" s="531">
        <v>24300</v>
      </c>
      <c r="AH15" s="531">
        <v>949</v>
      </c>
      <c r="AI15" s="531">
        <v>295</v>
      </c>
      <c r="AJ15" s="531">
        <v>690</v>
      </c>
      <c r="AK15" s="531">
        <v>0</v>
      </c>
      <c r="AL15" s="531">
        <v>-34.40499999999998</v>
      </c>
      <c r="AM15" s="531">
        <v>762</v>
      </c>
      <c r="AN15" s="531">
        <v>0</v>
      </c>
      <c r="AO15" s="531">
        <v>0</v>
      </c>
      <c r="AP15" s="531">
        <v>97</v>
      </c>
      <c r="AQ15" s="531">
        <v>0</v>
      </c>
      <c r="AR15" s="531">
        <f t="shared" si="2"/>
        <v>95829.404999999999</v>
      </c>
      <c r="AS15" s="532">
        <v>122888</v>
      </c>
      <c r="AT15" s="530">
        <v>250</v>
      </c>
      <c r="AU15" s="535">
        <v>3548</v>
      </c>
      <c r="AV15" s="531">
        <v>24480</v>
      </c>
      <c r="AW15" s="531">
        <v>1440</v>
      </c>
      <c r="AX15" s="531">
        <f t="shared" si="5"/>
        <v>7917.625</v>
      </c>
      <c r="AY15" s="531">
        <f t="shared" si="3"/>
        <v>7917.625</v>
      </c>
      <c r="AZ15" s="531">
        <f t="shared" si="3"/>
        <v>7917.625</v>
      </c>
      <c r="BA15" s="531">
        <f t="shared" si="3"/>
        <v>7917.625</v>
      </c>
      <c r="BB15" s="531">
        <f t="shared" si="3"/>
        <v>7917.625</v>
      </c>
      <c r="BC15" s="531">
        <f t="shared" si="3"/>
        <v>7917.625</v>
      </c>
      <c r="BD15" s="531">
        <f t="shared" si="3"/>
        <v>7917.625</v>
      </c>
      <c r="BE15" s="531">
        <f t="shared" si="3"/>
        <v>7917.625</v>
      </c>
      <c r="BF15" s="532">
        <v>93059</v>
      </c>
      <c r="BG15" s="530">
        <f t="shared" si="6"/>
        <v>18356.833333333332</v>
      </c>
      <c r="BH15" s="531">
        <f t="shared" si="7"/>
        <v>18356.833333333332</v>
      </c>
      <c r="BI15" s="531">
        <f t="shared" si="7"/>
        <v>18356.833333333332</v>
      </c>
      <c r="BJ15" s="531">
        <f t="shared" si="7"/>
        <v>18356.833333333332</v>
      </c>
      <c r="BK15" s="531">
        <f t="shared" si="7"/>
        <v>18356.833333333332</v>
      </c>
      <c r="BL15" s="531">
        <f t="shared" si="7"/>
        <v>18356.833333333332</v>
      </c>
      <c r="BM15" s="531">
        <f t="shared" si="7"/>
        <v>18356.833333333332</v>
      </c>
      <c r="BN15" s="531">
        <f t="shared" si="7"/>
        <v>18356.833333333332</v>
      </c>
      <c r="BO15" s="531">
        <f t="shared" si="7"/>
        <v>18356.833333333332</v>
      </c>
      <c r="BP15" s="531">
        <f t="shared" si="7"/>
        <v>18356.833333333332</v>
      </c>
      <c r="BQ15" s="531">
        <f t="shared" si="7"/>
        <v>18356.833333333332</v>
      </c>
      <c r="BR15" s="531">
        <f t="shared" si="7"/>
        <v>18356.833333333332</v>
      </c>
      <c r="BS15" s="532">
        <v>220282</v>
      </c>
    </row>
    <row r="16" spans="1:71" s="536" customFormat="1" ht="16.5" customHeight="1">
      <c r="A16" s="533"/>
      <c r="B16" s="521" t="s">
        <v>331</v>
      </c>
      <c r="C16" s="534" t="s">
        <v>332</v>
      </c>
      <c r="D16" s="530">
        <v>0</v>
      </c>
      <c r="E16" s="535">
        <v>0</v>
      </c>
      <c r="F16" s="531">
        <v>0</v>
      </c>
      <c r="G16" s="531">
        <v>23138</v>
      </c>
      <c r="H16" s="531">
        <v>22855</v>
      </c>
      <c r="I16" s="531">
        <v>381</v>
      </c>
      <c r="J16" s="531">
        <v>57782</v>
      </c>
      <c r="K16" s="531">
        <v>23106</v>
      </c>
      <c r="L16" s="531">
        <v>32717</v>
      </c>
      <c r="M16" s="531">
        <v>22619.275271999999</v>
      </c>
      <c r="N16" s="531">
        <v>27276</v>
      </c>
      <c r="O16" s="531">
        <v>35297.064300680016</v>
      </c>
      <c r="P16" s="531">
        <f t="shared" si="0"/>
        <v>-226139.14322467137</v>
      </c>
      <c r="Q16" s="532">
        <v>19032.196348008649</v>
      </c>
      <c r="R16" s="530">
        <v>380</v>
      </c>
      <c r="S16" s="531">
        <v>410271</v>
      </c>
      <c r="T16" s="531">
        <v>26092</v>
      </c>
      <c r="U16" s="531">
        <v>0</v>
      </c>
      <c r="V16" s="531">
        <v>25670</v>
      </c>
      <c r="W16" s="531">
        <v>29665</v>
      </c>
      <c r="X16" s="531">
        <v>59618</v>
      </c>
      <c r="Y16" s="531">
        <v>-363619.23176</v>
      </c>
      <c r="Z16" s="531">
        <v>22017.353856000002</v>
      </c>
      <c r="AA16" s="531">
        <v>44807</v>
      </c>
      <c r="AB16" s="531">
        <v>21292</v>
      </c>
      <c r="AC16" s="531">
        <v>0</v>
      </c>
      <c r="AD16" s="531">
        <f t="shared" si="1"/>
        <v>-264558.12209600001</v>
      </c>
      <c r="AE16" s="532">
        <v>11635</v>
      </c>
      <c r="AF16" s="530">
        <v>0</v>
      </c>
      <c r="AG16" s="531">
        <v>22574</v>
      </c>
      <c r="AH16" s="531">
        <v>0</v>
      </c>
      <c r="AI16" s="531">
        <v>44577</v>
      </c>
      <c r="AJ16" s="531">
        <v>0</v>
      </c>
      <c r="AK16" s="531">
        <v>19167</v>
      </c>
      <c r="AL16" s="531">
        <v>17800.128612000022</v>
      </c>
      <c r="AM16" s="531">
        <v>0</v>
      </c>
      <c r="AN16" s="531">
        <v>16713.165700000001</v>
      </c>
      <c r="AO16" s="531">
        <v>30896</v>
      </c>
      <c r="AP16" s="531">
        <v>14085</v>
      </c>
      <c r="AQ16" s="531">
        <v>15413.016557999994</v>
      </c>
      <c r="AR16" s="531">
        <f t="shared" si="2"/>
        <v>-173653.31087000004</v>
      </c>
      <c r="AS16" s="532">
        <v>7572</v>
      </c>
      <c r="AT16" s="530">
        <v>0</v>
      </c>
      <c r="AU16" s="535">
        <v>0</v>
      </c>
      <c r="AV16" s="531">
        <v>0</v>
      </c>
      <c r="AW16" s="531">
        <v>0</v>
      </c>
      <c r="AX16" s="531">
        <v>702</v>
      </c>
      <c r="AY16" s="531">
        <v>702</v>
      </c>
      <c r="AZ16" s="531">
        <f t="shared" si="3"/>
        <v>702</v>
      </c>
      <c r="BA16" s="531">
        <f t="shared" si="3"/>
        <v>702</v>
      </c>
      <c r="BB16" s="531">
        <f t="shared" si="3"/>
        <v>702</v>
      </c>
      <c r="BC16" s="531">
        <f t="shared" si="3"/>
        <v>702</v>
      </c>
      <c r="BD16" s="531">
        <f t="shared" si="3"/>
        <v>702</v>
      </c>
      <c r="BE16" s="531">
        <f t="shared" si="3"/>
        <v>702</v>
      </c>
      <c r="BF16" s="532">
        <v>5608</v>
      </c>
      <c r="BG16" s="530">
        <f t="shared" si="6"/>
        <v>239.33333333333334</v>
      </c>
      <c r="BH16" s="531">
        <f t="shared" si="7"/>
        <v>239.33333333333334</v>
      </c>
      <c r="BI16" s="531">
        <f t="shared" si="7"/>
        <v>239.33333333333334</v>
      </c>
      <c r="BJ16" s="531">
        <f t="shared" si="7"/>
        <v>239.33333333333334</v>
      </c>
      <c r="BK16" s="531">
        <f t="shared" si="7"/>
        <v>239.33333333333334</v>
      </c>
      <c r="BL16" s="531">
        <f t="shared" si="7"/>
        <v>239.33333333333334</v>
      </c>
      <c r="BM16" s="531">
        <f t="shared" si="7"/>
        <v>239.33333333333334</v>
      </c>
      <c r="BN16" s="531">
        <f t="shared" si="7"/>
        <v>239.33333333333334</v>
      </c>
      <c r="BO16" s="531">
        <f t="shared" si="7"/>
        <v>239.33333333333334</v>
      </c>
      <c r="BP16" s="531">
        <f t="shared" si="7"/>
        <v>239.33333333333334</v>
      </c>
      <c r="BQ16" s="531">
        <f t="shared" si="7"/>
        <v>239.33333333333334</v>
      </c>
      <c r="BR16" s="531">
        <f t="shared" si="7"/>
        <v>239.33333333333334</v>
      </c>
      <c r="BS16" s="532">
        <v>2872</v>
      </c>
    </row>
    <row r="17" spans="1:71" s="536" customFormat="1">
      <c r="A17" s="533"/>
      <c r="B17" s="521" t="s">
        <v>333</v>
      </c>
      <c r="C17" s="534" t="s">
        <v>247</v>
      </c>
      <c r="D17" s="530">
        <v>3026114.1423633411</v>
      </c>
      <c r="E17" s="535">
        <v>2390951.8322315603</v>
      </c>
      <c r="F17" s="531">
        <v>3266618</v>
      </c>
      <c r="G17" s="531">
        <v>2004029</v>
      </c>
      <c r="H17" s="531">
        <v>3341250</v>
      </c>
      <c r="I17" s="531">
        <v>2468621</v>
      </c>
      <c r="J17" s="531">
        <v>2170802</v>
      </c>
      <c r="K17" s="531">
        <f>2443307-103437</f>
        <v>2339870</v>
      </c>
      <c r="L17" s="531">
        <f>51185479-925</f>
        <v>51184554</v>
      </c>
      <c r="M17" s="531">
        <f>2413020.549958-81</f>
        <v>2412939.549958</v>
      </c>
      <c r="N17" s="531">
        <f>17414612+20989</f>
        <v>17435601</v>
      </c>
      <c r="O17" s="531">
        <f>19401796.4301785+119</f>
        <v>19401915.430178501</v>
      </c>
      <c r="P17" s="531">
        <f t="shared" si="0"/>
        <v>-108000615.9547314</v>
      </c>
      <c r="Q17" s="532">
        <f>3322988+119662</f>
        <v>3442650</v>
      </c>
      <c r="R17" s="530">
        <f>9130613-116</f>
        <v>9130497</v>
      </c>
      <c r="S17" s="531">
        <v>2084221</v>
      </c>
      <c r="T17" s="531">
        <f>-4037920+17372</f>
        <v>-4020548</v>
      </c>
      <c r="U17" s="531">
        <f>1939915+62450</f>
        <v>2002365</v>
      </c>
      <c r="V17" s="531">
        <f>2311200+219032</f>
        <v>2530232</v>
      </c>
      <c r="W17" s="531">
        <f>36456626+5044027</f>
        <v>41500653</v>
      </c>
      <c r="X17" s="531">
        <f>9159230+1165001</f>
        <v>10324231</v>
      </c>
      <c r="Y17" s="531">
        <f>9719834+1904683</f>
        <v>11624517</v>
      </c>
      <c r="Z17" s="531">
        <f>2721999.406144+222648</f>
        <v>2944647.4061440001</v>
      </c>
      <c r="AA17" s="531">
        <f>16318336+1422096</f>
        <v>17740432</v>
      </c>
      <c r="AB17" s="531">
        <f>8666098+1319747</f>
        <v>9985845</v>
      </c>
      <c r="AC17" s="531">
        <f>1768765+6304956-213709</f>
        <v>7860012</v>
      </c>
      <c r="AD17" s="531">
        <f t="shared" si="1"/>
        <v>-41947708.406143993</v>
      </c>
      <c r="AE17" s="532">
        <f>74006413-433536+22-1147618-34822-631063</f>
        <v>71759396</v>
      </c>
      <c r="AF17" s="530">
        <f>2927240+91851-1498</f>
        <v>3017593</v>
      </c>
      <c r="AG17" s="531">
        <f>2057692+63122-3731</f>
        <v>2117083</v>
      </c>
      <c r="AH17" s="531">
        <f>2739075-220370-3635</f>
        <v>2515070</v>
      </c>
      <c r="AI17" s="531">
        <f>2012557+60611+4796</f>
        <v>2077964</v>
      </c>
      <c r="AJ17" s="531">
        <f>1847957+66472</f>
        <v>1914429</v>
      </c>
      <c r="AK17" s="531">
        <f>1921440+515634+26</f>
        <v>2437100</v>
      </c>
      <c r="AL17" s="531">
        <f>2348964.49156201-64239</f>
        <v>2284725.4915620098</v>
      </c>
      <c r="AM17" s="531">
        <f>2057987+46860</f>
        <v>2104847</v>
      </c>
      <c r="AN17" s="531">
        <f>60884438.94875+4005637+26</f>
        <v>64890101.948749997</v>
      </c>
      <c r="AO17" s="531">
        <f>8501312+1285251-50</f>
        <v>9786513</v>
      </c>
      <c r="AP17" s="531">
        <f>3590694+582234</f>
        <v>4172928</v>
      </c>
      <c r="AQ17" s="531">
        <v>2813713.3006419628</v>
      </c>
      <c r="AR17" s="531">
        <f t="shared" si="2"/>
        <v>12578209.259046033</v>
      </c>
      <c r="AS17" s="532">
        <f>111137230+2080000-2583-3873-500497</f>
        <v>112710277</v>
      </c>
      <c r="AT17" s="530">
        <v>1754078</v>
      </c>
      <c r="AU17" s="535">
        <v>3793540</v>
      </c>
      <c r="AV17" s="531">
        <v>2550416</v>
      </c>
      <c r="AW17" s="531">
        <v>2816855.2337050075</v>
      </c>
      <c r="AX17" s="531">
        <f t="shared" si="5"/>
        <v>13150642.595786873</v>
      </c>
      <c r="AY17" s="531">
        <f t="shared" ref="AY17:BE21" si="24">AX17</f>
        <v>13150642.595786873</v>
      </c>
      <c r="AZ17" s="531">
        <f t="shared" si="24"/>
        <v>13150642.595786873</v>
      </c>
      <c r="BA17" s="531">
        <f t="shared" si="24"/>
        <v>13150642.595786873</v>
      </c>
      <c r="BB17" s="531">
        <f t="shared" si="24"/>
        <v>13150642.595786873</v>
      </c>
      <c r="BC17" s="531">
        <f t="shared" si="24"/>
        <v>13150642.595786873</v>
      </c>
      <c r="BD17" s="531">
        <f t="shared" si="24"/>
        <v>13150642.595786873</v>
      </c>
      <c r="BE17" s="531">
        <f t="shared" si="24"/>
        <v>13150642.595786873</v>
      </c>
      <c r="BF17" s="532">
        <f>6312969+109938183+3871-134993</f>
        <v>116120030</v>
      </c>
      <c r="BG17" s="530">
        <f t="shared" si="6"/>
        <v>10004239.166666666</v>
      </c>
      <c r="BH17" s="531">
        <f t="shared" si="7"/>
        <v>10004239.166666666</v>
      </c>
      <c r="BI17" s="531">
        <f t="shared" si="7"/>
        <v>10004239.166666666</v>
      </c>
      <c r="BJ17" s="531">
        <f t="shared" si="7"/>
        <v>10004239.166666666</v>
      </c>
      <c r="BK17" s="531">
        <f t="shared" si="7"/>
        <v>10004239.166666666</v>
      </c>
      <c r="BL17" s="531">
        <f t="shared" si="7"/>
        <v>10004239.166666666</v>
      </c>
      <c r="BM17" s="531">
        <f t="shared" si="7"/>
        <v>10004239.166666666</v>
      </c>
      <c r="BN17" s="531">
        <f t="shared" si="7"/>
        <v>10004239.166666666</v>
      </c>
      <c r="BO17" s="531">
        <f t="shared" si="7"/>
        <v>10004239.166666666</v>
      </c>
      <c r="BP17" s="531">
        <f t="shared" si="7"/>
        <v>10004239.166666666</v>
      </c>
      <c r="BQ17" s="531">
        <f t="shared" si="7"/>
        <v>10004239.166666666</v>
      </c>
      <c r="BR17" s="531">
        <f t="shared" si="7"/>
        <v>10004239.166666666</v>
      </c>
      <c r="BS17" s="532">
        <v>120050870</v>
      </c>
    </row>
    <row r="18" spans="1:71">
      <c r="A18" s="527"/>
      <c r="B18" s="528" t="s">
        <v>334</v>
      </c>
      <c r="C18" s="529" t="s">
        <v>248</v>
      </c>
      <c r="D18" s="530">
        <v>9291.84</v>
      </c>
      <c r="E18" s="531">
        <v>0</v>
      </c>
      <c r="F18" s="531">
        <v>0</v>
      </c>
      <c r="G18" s="531">
        <v>231359</v>
      </c>
      <c r="H18" s="531">
        <v>245477</v>
      </c>
      <c r="I18" s="531">
        <v>153314</v>
      </c>
      <c r="J18" s="531">
        <v>286019</v>
      </c>
      <c r="K18" s="531">
        <v>165330</v>
      </c>
      <c r="L18" s="531">
        <v>249324</v>
      </c>
      <c r="M18" s="531">
        <v>226699.89999999997</v>
      </c>
      <c r="N18" s="531">
        <v>1257630</v>
      </c>
      <c r="O18" s="531">
        <v>179362.47000000009</v>
      </c>
      <c r="P18" s="531">
        <f t="shared" si="0"/>
        <v>1839270.79</v>
      </c>
      <c r="Q18" s="532">
        <f>4751886+91192</f>
        <v>4843078</v>
      </c>
      <c r="R18" s="530">
        <v>53078</v>
      </c>
      <c r="S18" s="531">
        <f>3465367-415753</f>
        <v>3049614</v>
      </c>
      <c r="T18" s="531">
        <v>617731</v>
      </c>
      <c r="U18" s="531">
        <v>3857296</v>
      </c>
      <c r="V18" s="531">
        <v>550290</v>
      </c>
      <c r="W18" s="531">
        <v>373490</v>
      </c>
      <c r="X18" s="531">
        <v>1057400</v>
      </c>
      <c r="Y18" s="531">
        <v>2221164</v>
      </c>
      <c r="Z18" s="531">
        <v>3216368.1500000008</v>
      </c>
      <c r="AA18" s="531">
        <v>4068165</v>
      </c>
      <c r="AB18" s="531">
        <v>2188573</v>
      </c>
      <c r="AC18" s="531">
        <f>16751421-3284676</f>
        <v>13466745</v>
      </c>
      <c r="AD18" s="531">
        <f t="shared" si="1"/>
        <v>14635037.850000001</v>
      </c>
      <c r="AE18" s="532">
        <v>49354952</v>
      </c>
      <c r="AF18" s="530">
        <v>42800</v>
      </c>
      <c r="AG18" s="531">
        <v>4531808</v>
      </c>
      <c r="AH18" s="531">
        <v>4530827</v>
      </c>
      <c r="AI18" s="531">
        <v>4543493</v>
      </c>
      <c r="AJ18" s="531">
        <v>4559534</v>
      </c>
      <c r="AK18" s="531">
        <v>4510601</v>
      </c>
      <c r="AL18" s="531">
        <v>4487014.5500000007</v>
      </c>
      <c r="AM18" s="531">
        <v>5658635.9699999988</v>
      </c>
      <c r="AN18" s="531">
        <v>4546299.8899999969</v>
      </c>
      <c r="AO18" s="531">
        <v>4564599</v>
      </c>
      <c r="AP18" s="531">
        <v>4587267</v>
      </c>
      <c r="AQ18" s="531">
        <f>4207043.63+142239</f>
        <v>4349282.63</v>
      </c>
      <c r="AR18" s="531">
        <f t="shared" si="2"/>
        <v>2388398.9600000009</v>
      </c>
      <c r="AS18" s="532">
        <f>53294648+5913</f>
        <v>53300561</v>
      </c>
      <c r="AT18" s="530">
        <v>2800419</v>
      </c>
      <c r="AU18" s="531">
        <f>4372292+2729724</f>
        <v>7102016</v>
      </c>
      <c r="AV18" s="531">
        <f>12244999-1585850</f>
        <v>10659149</v>
      </c>
      <c r="AW18" s="531">
        <f>7298735+248593</f>
        <v>7547328</v>
      </c>
      <c r="AX18" s="531">
        <f t="shared" si="5"/>
        <v>7445745.25</v>
      </c>
      <c r="AY18" s="531">
        <f t="shared" si="24"/>
        <v>7445745.25</v>
      </c>
      <c r="AZ18" s="531">
        <f t="shared" si="24"/>
        <v>7445745.25</v>
      </c>
      <c r="BA18" s="531">
        <f t="shared" si="24"/>
        <v>7445745.25</v>
      </c>
      <c r="BB18" s="531">
        <f t="shared" si="24"/>
        <v>7445745.25</v>
      </c>
      <c r="BC18" s="531">
        <f t="shared" si="24"/>
        <v>7445745.25</v>
      </c>
      <c r="BD18" s="531">
        <f t="shared" si="24"/>
        <v>7445745.25</v>
      </c>
      <c r="BE18" s="531">
        <f t="shared" si="24"/>
        <v>7445745.25</v>
      </c>
      <c r="BF18" s="532">
        <v>87674874</v>
      </c>
      <c r="BG18" s="530">
        <f t="shared" si="6"/>
        <v>6679804</v>
      </c>
      <c r="BH18" s="531">
        <f t="shared" si="7"/>
        <v>6679804</v>
      </c>
      <c r="BI18" s="531">
        <f t="shared" si="7"/>
        <v>6679804</v>
      </c>
      <c r="BJ18" s="531">
        <f t="shared" si="7"/>
        <v>6679804</v>
      </c>
      <c r="BK18" s="531">
        <f t="shared" si="7"/>
        <v>6679804</v>
      </c>
      <c r="BL18" s="531">
        <f t="shared" si="7"/>
        <v>6679804</v>
      </c>
      <c r="BM18" s="531">
        <f t="shared" si="7"/>
        <v>6679804</v>
      </c>
      <c r="BN18" s="531">
        <f t="shared" si="7"/>
        <v>6679804</v>
      </c>
      <c r="BO18" s="531">
        <f t="shared" si="7"/>
        <v>6679804</v>
      </c>
      <c r="BP18" s="531">
        <f t="shared" si="7"/>
        <v>6679804</v>
      </c>
      <c r="BQ18" s="531">
        <f t="shared" si="7"/>
        <v>6679804</v>
      </c>
      <c r="BR18" s="531">
        <f t="shared" si="7"/>
        <v>6679804</v>
      </c>
      <c r="BS18" s="532">
        <v>80157648</v>
      </c>
    </row>
    <row r="19" spans="1:71">
      <c r="A19" s="527"/>
      <c r="B19" s="528" t="s">
        <v>335</v>
      </c>
      <c r="C19" s="529" t="s">
        <v>336</v>
      </c>
      <c r="D19" s="530">
        <v>320.07</v>
      </c>
      <c r="E19" s="531">
        <v>0</v>
      </c>
      <c r="F19" s="531">
        <v>0</v>
      </c>
      <c r="G19" s="531">
        <v>10415</v>
      </c>
      <c r="H19" s="531">
        <v>14232</v>
      </c>
      <c r="I19" s="531">
        <v>15717</v>
      </c>
      <c r="J19" s="531">
        <v>17080</v>
      </c>
      <c r="K19" s="531">
        <v>16337</v>
      </c>
      <c r="L19" s="531">
        <v>18579</v>
      </c>
      <c r="M19" s="531">
        <v>17162.260000000002</v>
      </c>
      <c r="N19" s="531">
        <v>21298</v>
      </c>
      <c r="O19" s="531">
        <v>22346.599999999984</v>
      </c>
      <c r="P19" s="531">
        <f t="shared" si="0"/>
        <v>129721.07</v>
      </c>
      <c r="Q19" s="532">
        <v>283208</v>
      </c>
      <c r="R19" s="530">
        <v>116</v>
      </c>
      <c r="S19" s="531">
        <v>11635</v>
      </c>
      <c r="T19" s="531">
        <v>17005</v>
      </c>
      <c r="U19" s="531">
        <v>13900</v>
      </c>
      <c r="V19" s="531">
        <v>14633</v>
      </c>
      <c r="W19" s="531">
        <v>17077</v>
      </c>
      <c r="X19" s="531">
        <v>20234</v>
      </c>
      <c r="Y19" s="531">
        <v>15175</v>
      </c>
      <c r="Z19" s="531">
        <v>7083.8200000000024</v>
      </c>
      <c r="AA19" s="531">
        <v>8170</v>
      </c>
      <c r="AB19" s="531">
        <v>11393</v>
      </c>
      <c r="AC19" s="531">
        <v>7649</v>
      </c>
      <c r="AD19" s="531">
        <f t="shared" si="1"/>
        <v>31072.179999999993</v>
      </c>
      <c r="AE19" s="532">
        <v>175143</v>
      </c>
      <c r="AF19" s="530">
        <v>1187</v>
      </c>
      <c r="AG19" s="531">
        <v>0</v>
      </c>
      <c r="AH19" s="531">
        <v>12989</v>
      </c>
      <c r="AI19" s="531">
        <v>16822</v>
      </c>
      <c r="AJ19" s="531">
        <v>13360</v>
      </c>
      <c r="AK19" s="531">
        <v>10379</v>
      </c>
      <c r="AL19" s="531">
        <v>20695.18</v>
      </c>
      <c r="AM19" s="531">
        <v>23222.590000000011</v>
      </c>
      <c r="AN19" s="531">
        <v>31279.599999999966</v>
      </c>
      <c r="AO19" s="531">
        <v>36811</v>
      </c>
      <c r="AP19" s="531">
        <v>49746</v>
      </c>
      <c r="AQ19" s="531">
        <v>24278.139999999996</v>
      </c>
      <c r="AR19" s="531">
        <f t="shared" si="2"/>
        <v>-31800.509999999951</v>
      </c>
      <c r="AS19" s="532">
        <v>208969</v>
      </c>
      <c r="AT19" s="530">
        <v>3785</v>
      </c>
      <c r="AU19" s="531">
        <v>37377</v>
      </c>
      <c r="AV19" s="531">
        <v>28705</v>
      </c>
      <c r="AW19" s="531">
        <v>53460.819999999971</v>
      </c>
      <c r="AX19" s="531">
        <f t="shared" si="5"/>
        <v>23450.272500000003</v>
      </c>
      <c r="AY19" s="531">
        <f t="shared" si="24"/>
        <v>23450.272500000003</v>
      </c>
      <c r="AZ19" s="531">
        <f t="shared" si="24"/>
        <v>23450.272500000003</v>
      </c>
      <c r="BA19" s="531">
        <f t="shared" si="24"/>
        <v>23450.272500000003</v>
      </c>
      <c r="BB19" s="531">
        <f t="shared" si="24"/>
        <v>23450.272500000003</v>
      </c>
      <c r="BC19" s="531">
        <f t="shared" si="24"/>
        <v>23450.272500000003</v>
      </c>
      <c r="BD19" s="531">
        <f t="shared" si="24"/>
        <v>23450.272500000003</v>
      </c>
      <c r="BE19" s="531">
        <f t="shared" si="24"/>
        <v>23450.272500000003</v>
      </c>
      <c r="BF19" s="532">
        <v>310930</v>
      </c>
      <c r="BG19" s="530">
        <f t="shared" si="6"/>
        <v>14596.416666666666</v>
      </c>
      <c r="BH19" s="531">
        <f t="shared" si="7"/>
        <v>14596.416666666666</v>
      </c>
      <c r="BI19" s="531">
        <f t="shared" si="7"/>
        <v>14596.416666666666</v>
      </c>
      <c r="BJ19" s="531">
        <f t="shared" si="7"/>
        <v>14596.416666666666</v>
      </c>
      <c r="BK19" s="531">
        <f t="shared" si="7"/>
        <v>14596.416666666666</v>
      </c>
      <c r="BL19" s="531">
        <f t="shared" si="7"/>
        <v>14596.416666666666</v>
      </c>
      <c r="BM19" s="531">
        <f t="shared" si="7"/>
        <v>14596.416666666666</v>
      </c>
      <c r="BN19" s="531">
        <f t="shared" si="7"/>
        <v>14596.416666666666</v>
      </c>
      <c r="BO19" s="531">
        <f t="shared" si="7"/>
        <v>14596.416666666666</v>
      </c>
      <c r="BP19" s="531">
        <f t="shared" si="7"/>
        <v>14596.416666666666</v>
      </c>
      <c r="BQ19" s="531">
        <f t="shared" si="7"/>
        <v>14596.416666666666</v>
      </c>
      <c r="BR19" s="531">
        <f t="shared" si="7"/>
        <v>14596.416666666666</v>
      </c>
      <c r="BS19" s="532">
        <v>175157</v>
      </c>
    </row>
    <row r="20" spans="1:71">
      <c r="A20" s="527"/>
      <c r="B20" s="528" t="s">
        <v>337</v>
      </c>
      <c r="C20" s="529" t="s">
        <v>250</v>
      </c>
      <c r="D20" s="530">
        <v>0</v>
      </c>
      <c r="E20" s="531">
        <v>0</v>
      </c>
      <c r="F20" s="531">
        <v>0</v>
      </c>
      <c r="G20" s="531">
        <v>0</v>
      </c>
      <c r="H20" s="531">
        <v>0</v>
      </c>
      <c r="I20" s="531">
        <v>0</v>
      </c>
      <c r="J20" s="531">
        <v>0</v>
      </c>
      <c r="K20" s="531">
        <v>0</v>
      </c>
      <c r="L20" s="531">
        <v>0</v>
      </c>
      <c r="M20" s="531">
        <v>0</v>
      </c>
      <c r="N20" s="531">
        <v>0</v>
      </c>
      <c r="O20" s="531">
        <v>0</v>
      </c>
      <c r="P20" s="531">
        <f t="shared" si="0"/>
        <v>8384.5658546489522</v>
      </c>
      <c r="Q20" s="532">
        <v>8384.5658546489522</v>
      </c>
      <c r="R20" s="530">
        <v>0</v>
      </c>
      <c r="S20" s="531">
        <v>0</v>
      </c>
      <c r="T20" s="531">
        <v>0</v>
      </c>
      <c r="U20" s="531">
        <v>0</v>
      </c>
      <c r="V20" s="531">
        <v>0</v>
      </c>
      <c r="W20" s="531">
        <v>0</v>
      </c>
      <c r="X20" s="531">
        <v>0</v>
      </c>
      <c r="Y20" s="531">
        <v>0</v>
      </c>
      <c r="Z20" s="531">
        <v>0</v>
      </c>
      <c r="AA20" s="531">
        <v>0</v>
      </c>
      <c r="AB20" s="531">
        <v>0</v>
      </c>
      <c r="AC20" s="531">
        <v>0</v>
      </c>
      <c r="AD20" s="531">
        <f t="shared" si="1"/>
        <v>8792</v>
      </c>
      <c r="AE20" s="532">
        <v>8792</v>
      </c>
      <c r="AF20" s="530">
        <v>0</v>
      </c>
      <c r="AG20" s="531">
        <v>11014</v>
      </c>
      <c r="AH20" s="531">
        <v>0</v>
      </c>
      <c r="AI20" s="531">
        <v>0</v>
      </c>
      <c r="AJ20" s="531">
        <v>0</v>
      </c>
      <c r="AK20" s="531">
        <v>0</v>
      </c>
      <c r="AL20" s="531">
        <v>0</v>
      </c>
      <c r="AM20" s="531">
        <v>0</v>
      </c>
      <c r="AN20" s="531">
        <v>0</v>
      </c>
      <c r="AO20" s="531">
        <v>0</v>
      </c>
      <c r="AP20" s="531">
        <v>0</v>
      </c>
      <c r="AQ20" s="531">
        <v>0</v>
      </c>
      <c r="AR20" s="531">
        <v>-2221</v>
      </c>
      <c r="AS20" s="532">
        <v>8792</v>
      </c>
      <c r="AT20" s="530">
        <v>0</v>
      </c>
      <c r="AU20" s="531">
        <v>0</v>
      </c>
      <c r="AV20" s="531">
        <v>0</v>
      </c>
      <c r="AW20" s="531">
        <v>0</v>
      </c>
      <c r="AX20" s="531">
        <v>1098</v>
      </c>
      <c r="AY20" s="531">
        <f t="shared" si="24"/>
        <v>1098</v>
      </c>
      <c r="AZ20" s="531">
        <f t="shared" si="24"/>
        <v>1098</v>
      </c>
      <c r="BA20" s="531">
        <f t="shared" si="24"/>
        <v>1098</v>
      </c>
      <c r="BB20" s="531">
        <f t="shared" si="24"/>
        <v>1098</v>
      </c>
      <c r="BC20" s="531">
        <f t="shared" si="24"/>
        <v>1098</v>
      </c>
      <c r="BD20" s="531">
        <f t="shared" si="24"/>
        <v>1098</v>
      </c>
      <c r="BE20" s="531">
        <f t="shared" si="24"/>
        <v>1098</v>
      </c>
      <c r="BF20" s="532">
        <v>8792</v>
      </c>
      <c r="BG20" s="530">
        <f t="shared" si="6"/>
        <v>732.66666666666663</v>
      </c>
      <c r="BH20" s="531">
        <f t="shared" si="7"/>
        <v>732.66666666666663</v>
      </c>
      <c r="BI20" s="531">
        <f t="shared" si="7"/>
        <v>732.66666666666663</v>
      </c>
      <c r="BJ20" s="531">
        <f t="shared" si="7"/>
        <v>732.66666666666663</v>
      </c>
      <c r="BK20" s="531">
        <f t="shared" si="7"/>
        <v>732.66666666666663</v>
      </c>
      <c r="BL20" s="531">
        <f t="shared" si="7"/>
        <v>732.66666666666663</v>
      </c>
      <c r="BM20" s="531">
        <f t="shared" si="7"/>
        <v>732.66666666666663</v>
      </c>
      <c r="BN20" s="531">
        <f t="shared" si="7"/>
        <v>732.66666666666663</v>
      </c>
      <c r="BO20" s="531">
        <f t="shared" si="7"/>
        <v>732.66666666666663</v>
      </c>
      <c r="BP20" s="531">
        <f t="shared" si="7"/>
        <v>732.66666666666663</v>
      </c>
      <c r="BQ20" s="531">
        <f t="shared" si="7"/>
        <v>732.66666666666663</v>
      </c>
      <c r="BR20" s="531">
        <f t="shared" si="7"/>
        <v>732.66666666666663</v>
      </c>
      <c r="BS20" s="532">
        <v>8792</v>
      </c>
    </row>
    <row r="21" spans="1:71" s="512" customFormat="1" ht="16.8" thickBot="1">
      <c r="A21" s="537"/>
      <c r="B21" s="538" t="s">
        <v>152</v>
      </c>
      <c r="C21" s="539"/>
      <c r="D21" s="540">
        <v>44639864.280000009</v>
      </c>
      <c r="E21" s="541">
        <v>50396468.744108662</v>
      </c>
      <c r="F21" s="541">
        <v>51334903</v>
      </c>
      <c r="G21" s="541">
        <v>51238605</v>
      </c>
      <c r="H21" s="541">
        <v>51995958</v>
      </c>
      <c r="I21" s="541">
        <v>52555951</v>
      </c>
      <c r="J21" s="541">
        <v>53370865</v>
      </c>
      <c r="K21" s="541">
        <f t="shared" ref="K21:O21" si="25">SUM(K8:K20)</f>
        <v>53008374</v>
      </c>
      <c r="L21" s="541">
        <f t="shared" si="25"/>
        <v>105143347</v>
      </c>
      <c r="M21" s="541">
        <f t="shared" si="25"/>
        <v>53811113.743485972</v>
      </c>
      <c r="N21" s="541">
        <f t="shared" si="25"/>
        <v>71901693</v>
      </c>
      <c r="O21" s="541">
        <f t="shared" si="25"/>
        <v>68641861.986722246</v>
      </c>
      <c r="P21" s="541">
        <f t="shared" si="0"/>
        <v>22872820.009937048</v>
      </c>
      <c r="Q21" s="541">
        <f t="shared" ref="Q21:AS21" si="26">SUM(Q8:Q20)</f>
        <v>730911824.76425385</v>
      </c>
      <c r="R21" s="540">
        <f t="shared" si="26"/>
        <v>52015259</v>
      </c>
      <c r="S21" s="541">
        <f>SUM(S8:S20)</f>
        <v>54804973</v>
      </c>
      <c r="T21" s="541">
        <f t="shared" si="26"/>
        <v>48450197</v>
      </c>
      <c r="U21" s="541">
        <f t="shared" si="26"/>
        <v>56443804</v>
      </c>
      <c r="V21" s="541">
        <f t="shared" si="26"/>
        <v>54355446</v>
      </c>
      <c r="W21" s="541">
        <f t="shared" si="26"/>
        <v>92054183</v>
      </c>
      <c r="X21" s="541">
        <f t="shared" si="26"/>
        <v>62445263</v>
      </c>
      <c r="Y21" s="541">
        <f t="shared" si="26"/>
        <v>65862361.768239997</v>
      </c>
      <c r="Z21" s="541">
        <f t="shared" si="26"/>
        <v>58042744.928928167</v>
      </c>
      <c r="AA21" s="541">
        <f t="shared" si="26"/>
        <v>69876613</v>
      </c>
      <c r="AB21" s="541">
        <f t="shared" si="26"/>
        <v>61338822</v>
      </c>
      <c r="AC21" s="541">
        <f t="shared" si="26"/>
        <v>67384296.310000002</v>
      </c>
      <c r="AD21" s="541">
        <f>SUM(AD8:AD20)</f>
        <v>37814864.992831856</v>
      </c>
      <c r="AE21" s="541">
        <f>SUM(AE8:AE20)</f>
        <v>780888828</v>
      </c>
      <c r="AF21" s="540">
        <f t="shared" si="26"/>
        <v>47087143</v>
      </c>
      <c r="AG21" s="541">
        <f t="shared" si="26"/>
        <v>56365474</v>
      </c>
      <c r="AH21" s="541">
        <f t="shared" si="26"/>
        <v>56921902</v>
      </c>
      <c r="AI21" s="541">
        <f t="shared" si="26"/>
        <v>68187357</v>
      </c>
      <c r="AJ21" s="541">
        <f t="shared" si="26"/>
        <v>53861735</v>
      </c>
      <c r="AK21" s="541">
        <f t="shared" si="26"/>
        <v>56524849</v>
      </c>
      <c r="AL21" s="541">
        <f t="shared" si="26"/>
        <v>55709038.155683048</v>
      </c>
      <c r="AM21" s="541">
        <f t="shared" si="26"/>
        <v>58684222.560000002</v>
      </c>
      <c r="AN21" s="541">
        <f t="shared" si="26"/>
        <v>128045769.3925401</v>
      </c>
      <c r="AO21" s="541">
        <f t="shared" si="26"/>
        <v>66965060</v>
      </c>
      <c r="AP21" s="541">
        <f t="shared" si="26"/>
        <v>58016481</v>
      </c>
      <c r="AQ21" s="541">
        <f t="shared" si="26"/>
        <v>61056825.963595934</v>
      </c>
      <c r="AR21" s="541">
        <f t="shared" si="26"/>
        <v>40128311.928180858</v>
      </c>
      <c r="AS21" s="541">
        <f t="shared" si="26"/>
        <v>807554168</v>
      </c>
      <c r="AT21" s="540">
        <v>48054661</v>
      </c>
      <c r="AU21" s="541">
        <f>SUM(AU8:AU20)</f>
        <v>60831526</v>
      </c>
      <c r="AV21" s="541">
        <f>SUM(AV8:AV20)</f>
        <v>65321288</v>
      </c>
      <c r="AW21" s="541">
        <f>SUM(AW8:AW20)</f>
        <v>63403675.064134941</v>
      </c>
      <c r="AX21" s="541">
        <f>SUM(AX8:AX20)</f>
        <v>73511942.310192302</v>
      </c>
      <c r="AY21" s="541">
        <f>SUM(AY8:AY20)</f>
        <v>73511942.310192302</v>
      </c>
      <c r="AZ21" s="541">
        <f t="shared" si="24"/>
        <v>73511942.310192302</v>
      </c>
      <c r="BA21" s="541">
        <f t="shared" si="24"/>
        <v>73511942.310192302</v>
      </c>
      <c r="BB21" s="541">
        <f t="shared" si="24"/>
        <v>73511942.310192302</v>
      </c>
      <c r="BC21" s="541">
        <f t="shared" si="24"/>
        <v>73511942.310192302</v>
      </c>
      <c r="BD21" s="541">
        <f t="shared" si="24"/>
        <v>73511942.310192302</v>
      </c>
      <c r="BE21" s="541">
        <f>SUM(BE8:BE20)</f>
        <v>73511942.310192302</v>
      </c>
      <c r="BF21" s="541">
        <f t="shared" ref="BF21:BG21" si="27">SUM(BF8:BF20)</f>
        <v>825706688.54567337</v>
      </c>
      <c r="BG21" s="540">
        <f t="shared" si="27"/>
        <v>70751179.833333343</v>
      </c>
      <c r="BH21" s="541">
        <f t="shared" si="7"/>
        <v>70751179.833333343</v>
      </c>
      <c r="BI21" s="541">
        <f t="shared" si="7"/>
        <v>70751179.833333343</v>
      </c>
      <c r="BJ21" s="541">
        <f t="shared" si="7"/>
        <v>70751179.833333343</v>
      </c>
      <c r="BK21" s="541">
        <f t="shared" si="7"/>
        <v>70751179.833333343</v>
      </c>
      <c r="BL21" s="541">
        <f t="shared" si="7"/>
        <v>70751179.833333343</v>
      </c>
      <c r="BM21" s="541">
        <f t="shared" si="7"/>
        <v>70751179.833333343</v>
      </c>
      <c r="BN21" s="541">
        <f t="shared" si="7"/>
        <v>70751179.833333343</v>
      </c>
      <c r="BO21" s="541">
        <f t="shared" si="7"/>
        <v>70751179.833333343</v>
      </c>
      <c r="BP21" s="541">
        <f t="shared" si="7"/>
        <v>70751179.833333343</v>
      </c>
      <c r="BQ21" s="541">
        <f t="shared" si="7"/>
        <v>70751179.833333343</v>
      </c>
      <c r="BR21" s="541">
        <f t="shared" si="7"/>
        <v>70751179.833333343</v>
      </c>
      <c r="BS21" s="541">
        <f>SUM(BS8:BS20)</f>
        <v>849014158</v>
      </c>
    </row>
    <row r="22" spans="1:71" s="521" customFormat="1">
      <c r="D22" s="542"/>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f t="shared" si="19"/>
        <v>0</v>
      </c>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row>
    <row r="23" spans="1:71" s="521" customFormat="1" ht="16.8" thickBot="1">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f t="shared" si="19"/>
        <v>0</v>
      </c>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c r="BL23" s="543"/>
      <c r="BM23" s="543"/>
      <c r="BN23" s="543"/>
      <c r="BO23" s="543"/>
      <c r="BP23" s="543"/>
      <c r="BQ23" s="543"/>
      <c r="BR23" s="543"/>
      <c r="BS23" s="543"/>
    </row>
    <row r="24" spans="1:71" s="512" customFormat="1" ht="16.8" thickBot="1">
      <c r="D24" s="518" t="s">
        <v>307</v>
      </c>
      <c r="E24" s="544"/>
      <c r="F24" s="544"/>
      <c r="G24" s="544"/>
      <c r="H24" s="544"/>
      <c r="I24" s="544"/>
      <c r="J24" s="519"/>
      <c r="K24" s="544"/>
      <c r="L24" s="544"/>
      <c r="M24" s="544"/>
      <c r="N24" s="544"/>
      <c r="O24" s="544"/>
      <c r="P24" s="544"/>
      <c r="Q24" s="545"/>
      <c r="R24" s="518" t="s">
        <v>385</v>
      </c>
      <c r="S24" s="544"/>
      <c r="T24" s="544"/>
      <c r="U24" s="544"/>
      <c r="V24" s="544"/>
      <c r="W24" s="544"/>
      <c r="X24" s="519"/>
      <c r="Y24" s="544"/>
      <c r="Z24" s="544"/>
      <c r="AA24" s="544"/>
      <c r="AB24" s="544"/>
      <c r="AC24" s="544"/>
      <c r="AD24" s="544"/>
      <c r="AE24" s="545"/>
      <c r="AF24" s="518" t="s">
        <v>390</v>
      </c>
      <c r="AG24" s="519"/>
      <c r="AH24" s="519"/>
      <c r="AI24" s="519"/>
      <c r="AJ24" s="519"/>
      <c r="AK24" s="519"/>
      <c r="AL24" s="519"/>
      <c r="AM24" s="519"/>
      <c r="AN24" s="519"/>
      <c r="AO24" s="519"/>
      <c r="AP24" s="519"/>
      <c r="AQ24" s="519"/>
      <c r="AR24" s="544"/>
      <c r="AS24" s="545"/>
      <c r="AT24" s="518" t="s">
        <v>564</v>
      </c>
      <c r="AU24" s="544"/>
      <c r="AV24" s="544"/>
      <c r="AW24" s="544"/>
      <c r="AX24" s="544"/>
      <c r="AY24" s="544"/>
      <c r="AZ24" s="519"/>
      <c r="BA24" s="544"/>
      <c r="BB24" s="544"/>
      <c r="BC24" s="544"/>
      <c r="BD24" s="544"/>
      <c r="BE24" s="544"/>
      <c r="BF24" s="545"/>
      <c r="BG24" s="518" t="s">
        <v>565</v>
      </c>
      <c r="BH24" s="544"/>
      <c r="BI24" s="544"/>
      <c r="BJ24" s="544"/>
      <c r="BK24" s="544"/>
      <c r="BL24" s="544"/>
      <c r="BM24" s="519"/>
      <c r="BN24" s="544"/>
      <c r="BO24" s="544"/>
      <c r="BP24" s="544"/>
      <c r="BQ24" s="544"/>
      <c r="BR24" s="544"/>
      <c r="BS24" s="545"/>
    </row>
    <row r="25" spans="1:71" s="512" customFormat="1">
      <c r="A25" s="546" t="s">
        <v>338</v>
      </c>
      <c r="B25" s="522" t="s">
        <v>51</v>
      </c>
      <c r="C25" s="523" t="s">
        <v>309</v>
      </c>
      <c r="D25" s="547" t="s">
        <v>310</v>
      </c>
      <c r="E25" s="548" t="s">
        <v>311</v>
      </c>
      <c r="F25" s="548" t="s">
        <v>312</v>
      </c>
      <c r="G25" s="548" t="s">
        <v>313</v>
      </c>
      <c r="H25" s="548" t="s">
        <v>314</v>
      </c>
      <c r="I25" s="548" t="s">
        <v>315</v>
      </c>
      <c r="J25" s="548" t="s">
        <v>316</v>
      </c>
      <c r="K25" s="548" t="s">
        <v>317</v>
      </c>
      <c r="L25" s="548" t="s">
        <v>318</v>
      </c>
      <c r="M25" s="548" t="s">
        <v>319</v>
      </c>
      <c r="N25" s="548" t="s">
        <v>320</v>
      </c>
      <c r="O25" s="548" t="s">
        <v>321</v>
      </c>
      <c r="P25" s="548" t="s">
        <v>373</v>
      </c>
      <c r="Q25" s="526" t="s">
        <v>322</v>
      </c>
      <c r="R25" s="547" t="s">
        <v>310</v>
      </c>
      <c r="S25" s="548" t="s">
        <v>311</v>
      </c>
      <c r="T25" s="548" t="s">
        <v>312</v>
      </c>
      <c r="U25" s="548" t="s">
        <v>313</v>
      </c>
      <c r="V25" s="548" t="s">
        <v>314</v>
      </c>
      <c r="W25" s="548" t="s">
        <v>315</v>
      </c>
      <c r="X25" s="548" t="s">
        <v>316</v>
      </c>
      <c r="Y25" s="548" t="s">
        <v>317</v>
      </c>
      <c r="Z25" s="548" t="s">
        <v>318</v>
      </c>
      <c r="AA25" s="548" t="s">
        <v>319</v>
      </c>
      <c r="AB25" s="548" t="s">
        <v>320</v>
      </c>
      <c r="AC25" s="548" t="s">
        <v>321</v>
      </c>
      <c r="AD25" s="548" t="s">
        <v>457</v>
      </c>
      <c r="AE25" s="526" t="s">
        <v>384</v>
      </c>
      <c r="AF25" s="547" t="s">
        <v>310</v>
      </c>
      <c r="AG25" s="548" t="s">
        <v>311</v>
      </c>
      <c r="AH25" s="548" t="s">
        <v>312</v>
      </c>
      <c r="AI25" s="548" t="s">
        <v>313</v>
      </c>
      <c r="AJ25" s="548" t="s">
        <v>314</v>
      </c>
      <c r="AK25" s="548" t="s">
        <v>315</v>
      </c>
      <c r="AL25" s="548" t="s">
        <v>316</v>
      </c>
      <c r="AM25" s="548" t="s">
        <v>317</v>
      </c>
      <c r="AN25" s="548" t="s">
        <v>318</v>
      </c>
      <c r="AO25" s="548" t="s">
        <v>319</v>
      </c>
      <c r="AP25" s="548" t="s">
        <v>320</v>
      </c>
      <c r="AQ25" s="548" t="s">
        <v>321</v>
      </c>
      <c r="AR25" s="548" t="s">
        <v>494</v>
      </c>
      <c r="AS25" s="526" t="s">
        <v>391</v>
      </c>
      <c r="AT25" s="547" t="s">
        <v>310</v>
      </c>
      <c r="AU25" s="548" t="s">
        <v>311</v>
      </c>
      <c r="AV25" s="548" t="s">
        <v>312</v>
      </c>
      <c r="AW25" s="548" t="s">
        <v>313</v>
      </c>
      <c r="AX25" s="548" t="s">
        <v>314</v>
      </c>
      <c r="AY25" s="548" t="s">
        <v>315</v>
      </c>
      <c r="AZ25" s="548" t="s">
        <v>316</v>
      </c>
      <c r="BA25" s="548" t="s">
        <v>317</v>
      </c>
      <c r="BB25" s="548" t="s">
        <v>318</v>
      </c>
      <c r="BC25" s="548" t="s">
        <v>319</v>
      </c>
      <c r="BD25" s="548" t="s">
        <v>320</v>
      </c>
      <c r="BE25" s="548" t="s">
        <v>321</v>
      </c>
      <c r="BF25" s="526" t="s">
        <v>566</v>
      </c>
      <c r="BG25" s="547" t="s">
        <v>310</v>
      </c>
      <c r="BH25" s="548" t="s">
        <v>311</v>
      </c>
      <c r="BI25" s="548" t="s">
        <v>312</v>
      </c>
      <c r="BJ25" s="548" t="s">
        <v>313</v>
      </c>
      <c r="BK25" s="548" t="s">
        <v>314</v>
      </c>
      <c r="BL25" s="548" t="s">
        <v>315</v>
      </c>
      <c r="BM25" s="548" t="s">
        <v>316</v>
      </c>
      <c r="BN25" s="548" t="s">
        <v>317</v>
      </c>
      <c r="BO25" s="548" t="s">
        <v>318</v>
      </c>
      <c r="BP25" s="548" t="s">
        <v>319</v>
      </c>
      <c r="BQ25" s="548" t="s">
        <v>320</v>
      </c>
      <c r="BR25" s="548" t="s">
        <v>321</v>
      </c>
      <c r="BS25" s="526" t="s">
        <v>567</v>
      </c>
    </row>
    <row r="26" spans="1:71" ht="15" customHeight="1">
      <c r="A26" s="527" t="s">
        <v>4</v>
      </c>
      <c r="B26" s="521" t="s">
        <v>53</v>
      </c>
      <c r="C26" s="529" t="s">
        <v>52</v>
      </c>
      <c r="D26" s="530">
        <v>39427816.700000003</v>
      </c>
      <c r="E26" s="531">
        <v>9741068.0899999999</v>
      </c>
      <c r="F26" s="531">
        <v>7953981</v>
      </c>
      <c r="G26" s="531">
        <v>8188232</v>
      </c>
      <c r="H26" s="531">
        <v>7841839</v>
      </c>
      <c r="I26" s="531">
        <v>19461059</v>
      </c>
      <c r="J26" s="531">
        <v>20316292</v>
      </c>
      <c r="K26" s="531">
        <v>18664477</v>
      </c>
      <c r="L26" s="531">
        <v>64438990</v>
      </c>
      <c r="M26" s="531">
        <v>20034894</v>
      </c>
      <c r="N26" s="531">
        <v>59928514</v>
      </c>
      <c r="O26" s="531">
        <v>60102943</v>
      </c>
      <c r="P26" s="549">
        <f>Q26-(D26+E26+F26+G26+H26+I26+J26+K26+L26+M26+N26+O26)</f>
        <v>164643672.20999998</v>
      </c>
      <c r="Q26" s="550">
        <v>500743778</v>
      </c>
      <c r="R26" s="530">
        <v>46154932</v>
      </c>
      <c r="S26" s="531">
        <v>11826972</v>
      </c>
      <c r="T26" s="531">
        <v>1184640</v>
      </c>
      <c r="U26" s="531">
        <f>8525840-346</f>
        <v>8525494</v>
      </c>
      <c r="V26" s="531">
        <v>18353556</v>
      </c>
      <c r="W26" s="531">
        <f>52629802+343</f>
        <v>52630145</v>
      </c>
      <c r="X26" s="531">
        <v>25692465</v>
      </c>
      <c r="Y26" s="531">
        <v>56417126</v>
      </c>
      <c r="Z26" s="531">
        <v>50795362</v>
      </c>
      <c r="AA26" s="531">
        <v>61017855</v>
      </c>
      <c r="AB26" s="531">
        <v>56412015</v>
      </c>
      <c r="AC26" s="531">
        <v>150877169</v>
      </c>
      <c r="AD26" s="531">
        <f t="shared" ref="AD26:AD48" si="28">AE26-(R26+S26+T26+U26+V26+W26+X26+Y26+Z26+AA26+AB26+AC26)</f>
        <v>-126860165</v>
      </c>
      <c r="AE26" s="550">
        <v>413027566</v>
      </c>
      <c r="AF26" s="530">
        <v>41908654</v>
      </c>
      <c r="AG26" s="531">
        <v>10053770</v>
      </c>
      <c r="AH26" s="531">
        <v>7617116</v>
      </c>
      <c r="AI26" s="531">
        <v>8491236</v>
      </c>
      <c r="AJ26" s="531">
        <v>21849715</v>
      </c>
      <c r="AK26" s="531">
        <v>24466119</v>
      </c>
      <c r="AL26" s="531">
        <v>26153123.340000123</v>
      </c>
      <c r="AM26" s="531">
        <v>55637217</v>
      </c>
      <c r="AN26" s="531">
        <v>86337051</v>
      </c>
      <c r="AO26" s="531">
        <v>105793516.82999998</v>
      </c>
      <c r="AP26" s="531">
        <v>74302379</v>
      </c>
      <c r="AQ26" s="531">
        <v>-137681746.46999988</v>
      </c>
      <c r="AR26" s="531">
        <f t="shared" ref="AR26:AR49" si="29">AS26-(AF26+AG26+AH26+AI26+AJ26+AK26+AL26+AM26+AN26+AO26+AP26+AQ26)</f>
        <v>69062467.299999714</v>
      </c>
      <c r="AS26" s="550">
        <v>393990618</v>
      </c>
      <c r="AT26" s="530">
        <v>43116788</v>
      </c>
      <c r="AU26" s="531">
        <v>15459466</v>
      </c>
      <c r="AV26" s="531">
        <v>16193267</v>
      </c>
      <c r="AW26" s="531">
        <v>13516223</v>
      </c>
      <c r="AX26" s="531">
        <f t="shared" ref="AX26:AX47" si="30">(BF26-AT26-AU26-AV26-AW26)/8</f>
        <v>61557269</v>
      </c>
      <c r="AY26" s="531">
        <f t="shared" ref="AY26:BE41" si="31">AX26</f>
        <v>61557269</v>
      </c>
      <c r="AZ26" s="531">
        <f t="shared" si="31"/>
        <v>61557269</v>
      </c>
      <c r="BA26" s="531">
        <f t="shared" si="31"/>
        <v>61557269</v>
      </c>
      <c r="BB26" s="531">
        <f t="shared" si="31"/>
        <v>61557269</v>
      </c>
      <c r="BC26" s="531">
        <f t="shared" si="31"/>
        <v>61557269</v>
      </c>
      <c r="BD26" s="531">
        <f t="shared" si="31"/>
        <v>61557269</v>
      </c>
      <c r="BE26" s="531">
        <f t="shared" si="31"/>
        <v>61557269</v>
      </c>
      <c r="BF26" s="550">
        <v>580743896</v>
      </c>
      <c r="BG26" s="530">
        <f t="shared" ref="BG26:BG49" si="32">BS26/12</f>
        <v>49655294.083333336</v>
      </c>
      <c r="BH26" s="531">
        <f t="shared" ref="BH26:BR41" si="33">BG26</f>
        <v>49655294.083333336</v>
      </c>
      <c r="BI26" s="531">
        <f t="shared" si="33"/>
        <v>49655294.083333336</v>
      </c>
      <c r="BJ26" s="531">
        <f t="shared" si="33"/>
        <v>49655294.083333336</v>
      </c>
      <c r="BK26" s="531">
        <f t="shared" si="33"/>
        <v>49655294.083333336</v>
      </c>
      <c r="BL26" s="531">
        <f t="shared" si="33"/>
        <v>49655294.083333336</v>
      </c>
      <c r="BM26" s="531">
        <f t="shared" si="33"/>
        <v>49655294.083333336</v>
      </c>
      <c r="BN26" s="531">
        <f t="shared" si="33"/>
        <v>49655294.083333336</v>
      </c>
      <c r="BO26" s="531">
        <f t="shared" si="33"/>
        <v>49655294.083333336</v>
      </c>
      <c r="BP26" s="531">
        <f t="shared" si="33"/>
        <v>49655294.083333336</v>
      </c>
      <c r="BQ26" s="531">
        <f t="shared" si="33"/>
        <v>49655294.083333336</v>
      </c>
      <c r="BR26" s="531">
        <f t="shared" si="33"/>
        <v>49655294.083333336</v>
      </c>
      <c r="BS26" s="550">
        <v>595863529</v>
      </c>
    </row>
    <row r="27" spans="1:71" ht="15" customHeight="1">
      <c r="A27" s="527"/>
      <c r="B27" s="521" t="s">
        <v>55</v>
      </c>
      <c r="C27" s="529" t="s">
        <v>54</v>
      </c>
      <c r="D27" s="530">
        <v>434000.42000000004</v>
      </c>
      <c r="E27" s="531">
        <v>480786.03</v>
      </c>
      <c r="F27" s="531">
        <v>496943</v>
      </c>
      <c r="G27" s="531">
        <v>492199</v>
      </c>
      <c r="H27" s="531">
        <v>506624</v>
      </c>
      <c r="I27" s="531">
        <v>514985</v>
      </c>
      <c r="J27" s="531">
        <v>512174</v>
      </c>
      <c r="K27" s="531">
        <v>533275</v>
      </c>
      <c r="L27" s="531">
        <v>1090636</v>
      </c>
      <c r="M27" s="531">
        <v>522897</v>
      </c>
      <c r="N27" s="531">
        <v>476251</v>
      </c>
      <c r="O27" s="531">
        <v>685787</v>
      </c>
      <c r="P27" s="531">
        <f t="shared" ref="P27:P49" si="34">Q27-(D27+E27+F27+G27+H27+I27+J27+K27+L27+M27+N27+O27)</f>
        <v>446158.54999999981</v>
      </c>
      <c r="Q27" s="550">
        <v>7192716</v>
      </c>
      <c r="R27" s="530">
        <v>424171</v>
      </c>
      <c r="S27" s="531">
        <v>421377</v>
      </c>
      <c r="T27" s="531">
        <v>391640</v>
      </c>
      <c r="U27" s="531">
        <v>446433</v>
      </c>
      <c r="V27" s="531">
        <v>442984</v>
      </c>
      <c r="W27" s="531">
        <v>745393</v>
      </c>
      <c r="X27" s="531">
        <v>508483</v>
      </c>
      <c r="Y27" s="531">
        <v>527806</v>
      </c>
      <c r="Z27" s="531">
        <v>650347</v>
      </c>
      <c r="AA27" s="531">
        <v>563924</v>
      </c>
      <c r="AB27" s="531">
        <v>764642</v>
      </c>
      <c r="AC27" s="531">
        <v>527251</v>
      </c>
      <c r="AD27" s="531">
        <f t="shared" si="28"/>
        <v>-268850</v>
      </c>
      <c r="AE27" s="550">
        <v>6145601</v>
      </c>
      <c r="AF27" s="530">
        <v>453346</v>
      </c>
      <c r="AG27" s="531">
        <v>543709</v>
      </c>
      <c r="AH27" s="531">
        <v>547246</v>
      </c>
      <c r="AI27" s="531">
        <v>657034</v>
      </c>
      <c r="AJ27" s="531">
        <v>695751</v>
      </c>
      <c r="AK27" s="531">
        <v>551617</v>
      </c>
      <c r="AL27" s="531">
        <v>866583.63999999932</v>
      </c>
      <c r="AM27" s="531">
        <v>563425</v>
      </c>
      <c r="AN27" s="531">
        <v>1187747</v>
      </c>
      <c r="AO27" s="531">
        <v>651210</v>
      </c>
      <c r="AP27" s="531">
        <v>1136048</v>
      </c>
      <c r="AQ27" s="531">
        <v>595505.14000000025</v>
      </c>
      <c r="AR27" s="531">
        <f t="shared" si="29"/>
        <v>-625202.77999999933</v>
      </c>
      <c r="AS27" s="550">
        <v>7824019</v>
      </c>
      <c r="AT27" s="530">
        <v>578684</v>
      </c>
      <c r="AU27" s="531">
        <v>780745</v>
      </c>
      <c r="AV27" s="531">
        <v>738413</v>
      </c>
      <c r="AW27" s="531">
        <v>789743</v>
      </c>
      <c r="AX27" s="531">
        <f t="shared" si="30"/>
        <v>912714</v>
      </c>
      <c r="AY27" s="531">
        <f t="shared" si="31"/>
        <v>912714</v>
      </c>
      <c r="AZ27" s="531">
        <f t="shared" si="31"/>
        <v>912714</v>
      </c>
      <c r="BA27" s="531">
        <f t="shared" si="31"/>
        <v>912714</v>
      </c>
      <c r="BB27" s="531">
        <f t="shared" si="31"/>
        <v>912714</v>
      </c>
      <c r="BC27" s="531">
        <f t="shared" si="31"/>
        <v>912714</v>
      </c>
      <c r="BD27" s="531">
        <f t="shared" si="31"/>
        <v>912714</v>
      </c>
      <c r="BE27" s="531">
        <f t="shared" si="31"/>
        <v>912714</v>
      </c>
      <c r="BF27" s="550">
        <v>10189297</v>
      </c>
      <c r="BG27" s="530">
        <f t="shared" si="32"/>
        <v>815639</v>
      </c>
      <c r="BH27" s="531">
        <f t="shared" si="33"/>
        <v>815639</v>
      </c>
      <c r="BI27" s="531">
        <f t="shared" si="33"/>
        <v>815639</v>
      </c>
      <c r="BJ27" s="531">
        <f t="shared" si="33"/>
        <v>815639</v>
      </c>
      <c r="BK27" s="531">
        <f t="shared" si="33"/>
        <v>815639</v>
      </c>
      <c r="BL27" s="531">
        <f t="shared" si="33"/>
        <v>815639</v>
      </c>
      <c r="BM27" s="531">
        <f t="shared" si="33"/>
        <v>815639</v>
      </c>
      <c r="BN27" s="531">
        <f t="shared" si="33"/>
        <v>815639</v>
      </c>
      <c r="BO27" s="531">
        <f t="shared" si="33"/>
        <v>815639</v>
      </c>
      <c r="BP27" s="531">
        <f t="shared" si="33"/>
        <v>815639</v>
      </c>
      <c r="BQ27" s="531">
        <f t="shared" si="33"/>
        <v>815639</v>
      </c>
      <c r="BR27" s="531">
        <f t="shared" si="33"/>
        <v>815639</v>
      </c>
      <c r="BS27" s="550">
        <v>9787668</v>
      </c>
    </row>
    <row r="28" spans="1:71" s="557" customFormat="1">
      <c r="A28" s="551" t="s">
        <v>339</v>
      </c>
      <c r="B28" s="552"/>
      <c r="C28" s="553"/>
      <c r="D28" s="554">
        <f>SUM(D26:D27)</f>
        <v>39861817.120000005</v>
      </c>
      <c r="E28" s="555">
        <f t="shared" ref="E28:O28" si="35">SUM(E26:E27)</f>
        <v>10221854.119999999</v>
      </c>
      <c r="F28" s="555">
        <f t="shared" si="35"/>
        <v>8450924</v>
      </c>
      <c r="G28" s="555">
        <f t="shared" si="35"/>
        <v>8680431</v>
      </c>
      <c r="H28" s="555">
        <f t="shared" si="35"/>
        <v>8348463</v>
      </c>
      <c r="I28" s="555">
        <f t="shared" si="35"/>
        <v>19976044</v>
      </c>
      <c r="J28" s="555">
        <f t="shared" si="35"/>
        <v>20828466</v>
      </c>
      <c r="K28" s="555">
        <f t="shared" si="35"/>
        <v>19197752</v>
      </c>
      <c r="L28" s="555">
        <f t="shared" si="35"/>
        <v>65529626</v>
      </c>
      <c r="M28" s="555">
        <f t="shared" si="35"/>
        <v>20557791</v>
      </c>
      <c r="N28" s="555">
        <f t="shared" si="35"/>
        <v>60404765</v>
      </c>
      <c r="O28" s="555">
        <f t="shared" si="35"/>
        <v>60788730</v>
      </c>
      <c r="P28" s="555">
        <f t="shared" si="34"/>
        <v>165089830.75999999</v>
      </c>
      <c r="Q28" s="550">
        <f>SUM(Q26:Q27)</f>
        <v>507936494</v>
      </c>
      <c r="R28" s="576">
        <f>SUM(R26:R27)</f>
        <v>46579103</v>
      </c>
      <c r="S28" s="576">
        <f>SUM(S26:S27)</f>
        <v>12248349</v>
      </c>
      <c r="T28" s="576">
        <f>SUM(T26:T27)</f>
        <v>1576280</v>
      </c>
      <c r="U28" s="576">
        <f>SUM(U26:U27)</f>
        <v>8971927</v>
      </c>
      <c r="V28" s="576">
        <f t="shared" ref="V28:AC28" si="36">SUM(V26:V27)</f>
        <v>18796540</v>
      </c>
      <c r="W28" s="576">
        <f>SUM(W26:W27)</f>
        <v>53375538</v>
      </c>
      <c r="X28" s="576">
        <f t="shared" si="36"/>
        <v>26200948</v>
      </c>
      <c r="Y28" s="576">
        <f t="shared" si="36"/>
        <v>56944932</v>
      </c>
      <c r="Z28" s="576">
        <f t="shared" si="36"/>
        <v>51445709</v>
      </c>
      <c r="AA28" s="576">
        <f>SUM(AA26:AA27)</f>
        <v>61581779</v>
      </c>
      <c r="AB28" s="576">
        <f t="shared" si="36"/>
        <v>57176657</v>
      </c>
      <c r="AC28" s="576">
        <f t="shared" si="36"/>
        <v>151404420</v>
      </c>
      <c r="AD28" s="577">
        <f t="shared" si="28"/>
        <v>-127129015</v>
      </c>
      <c r="AE28" s="550">
        <f t="shared" ref="AE28:AP28" si="37">SUM(AE26:AE27)</f>
        <v>419173167</v>
      </c>
      <c r="AF28" s="576">
        <f t="shared" si="37"/>
        <v>42362000</v>
      </c>
      <c r="AG28" s="576">
        <f t="shared" si="37"/>
        <v>10597479</v>
      </c>
      <c r="AH28" s="576">
        <f t="shared" si="37"/>
        <v>8164362</v>
      </c>
      <c r="AI28" s="576">
        <f t="shared" si="37"/>
        <v>9148270</v>
      </c>
      <c r="AJ28" s="576">
        <f t="shared" si="37"/>
        <v>22545466</v>
      </c>
      <c r="AK28" s="576">
        <f t="shared" si="37"/>
        <v>25017736</v>
      </c>
      <c r="AL28" s="576">
        <f t="shared" si="37"/>
        <v>27019706.980000123</v>
      </c>
      <c r="AM28" s="576">
        <f t="shared" si="37"/>
        <v>56200642</v>
      </c>
      <c r="AN28" s="576">
        <f t="shared" si="37"/>
        <v>87524798</v>
      </c>
      <c r="AO28" s="576">
        <f t="shared" si="37"/>
        <v>106444726.82999998</v>
      </c>
      <c r="AP28" s="576">
        <f t="shared" si="37"/>
        <v>75438427</v>
      </c>
      <c r="AQ28" s="576">
        <f>SUM(AQ26:AQ27)</f>
        <v>-137086241.32999989</v>
      </c>
      <c r="AR28" s="577">
        <f t="shared" si="29"/>
        <v>68437264.519999743</v>
      </c>
      <c r="AS28" s="550">
        <f>SUM(AS26:AS27)</f>
        <v>401814637</v>
      </c>
      <c r="AT28" s="554">
        <v>43695472</v>
      </c>
      <c r="AU28" s="555">
        <f>SUM(AU26:AU27)</f>
        <v>16240211</v>
      </c>
      <c r="AV28" s="555">
        <f>SUM(AV26:AV27)</f>
        <v>16931680</v>
      </c>
      <c r="AW28" s="555">
        <f>SUM(AW26:AW27)</f>
        <v>14305966</v>
      </c>
      <c r="AX28" s="555">
        <f>SUM(AX26:AX27)</f>
        <v>62469983</v>
      </c>
      <c r="AY28" s="555">
        <f t="shared" si="31"/>
        <v>62469983</v>
      </c>
      <c r="AZ28" s="555">
        <f t="shared" si="31"/>
        <v>62469983</v>
      </c>
      <c r="BA28" s="555">
        <f t="shared" si="31"/>
        <v>62469983</v>
      </c>
      <c r="BB28" s="555">
        <f t="shared" si="31"/>
        <v>62469983</v>
      </c>
      <c r="BC28" s="555">
        <f t="shared" si="31"/>
        <v>62469983</v>
      </c>
      <c r="BD28" s="555">
        <f t="shared" si="31"/>
        <v>62469983</v>
      </c>
      <c r="BE28" s="555">
        <f t="shared" si="31"/>
        <v>62469983</v>
      </c>
      <c r="BF28" s="550">
        <f>SUM(BF26:BF27)</f>
        <v>590933193</v>
      </c>
      <c r="BG28" s="576">
        <f t="shared" si="32"/>
        <v>50470933.083333336</v>
      </c>
      <c r="BH28" s="576">
        <f t="shared" si="33"/>
        <v>50470933.083333336</v>
      </c>
      <c r="BI28" s="576">
        <f t="shared" si="33"/>
        <v>50470933.083333336</v>
      </c>
      <c r="BJ28" s="576">
        <f t="shared" si="33"/>
        <v>50470933.083333336</v>
      </c>
      <c r="BK28" s="576">
        <f t="shared" si="33"/>
        <v>50470933.083333336</v>
      </c>
      <c r="BL28" s="576">
        <f t="shared" si="33"/>
        <v>50470933.083333336</v>
      </c>
      <c r="BM28" s="576">
        <f t="shared" si="33"/>
        <v>50470933.083333336</v>
      </c>
      <c r="BN28" s="576">
        <f t="shared" si="33"/>
        <v>50470933.083333336</v>
      </c>
      <c r="BO28" s="576">
        <f t="shared" si="33"/>
        <v>50470933.083333336</v>
      </c>
      <c r="BP28" s="576">
        <f t="shared" si="33"/>
        <v>50470933.083333336</v>
      </c>
      <c r="BQ28" s="576">
        <f t="shared" si="33"/>
        <v>50470933.083333336</v>
      </c>
      <c r="BR28" s="576">
        <f t="shared" si="33"/>
        <v>50470933.083333336</v>
      </c>
      <c r="BS28" s="550">
        <f t="shared" ref="BS28" si="38">SUM(BS26:BS27)</f>
        <v>605651197</v>
      </c>
    </row>
    <row r="29" spans="1:71" ht="15" customHeight="1">
      <c r="A29" s="527" t="s">
        <v>200</v>
      </c>
      <c r="B29" s="521" t="s">
        <v>113</v>
      </c>
      <c r="C29" s="529" t="s">
        <v>115</v>
      </c>
      <c r="D29" s="530">
        <v>22.46</v>
      </c>
      <c r="E29" s="531">
        <v>23.580000000000002</v>
      </c>
      <c r="F29" s="531">
        <v>24</v>
      </c>
      <c r="G29" s="531">
        <v>24</v>
      </c>
      <c r="H29" s="531">
        <v>23</v>
      </c>
      <c r="I29" s="531">
        <v>24</v>
      </c>
      <c r="J29" s="531">
        <v>24</v>
      </c>
      <c r="K29" s="531">
        <v>24</v>
      </c>
      <c r="L29" s="531">
        <v>24041</v>
      </c>
      <c r="M29" s="531">
        <v>24</v>
      </c>
      <c r="N29" s="531">
        <v>3042</v>
      </c>
      <c r="O29" s="531">
        <v>33</v>
      </c>
      <c r="P29" s="531">
        <f t="shared" si="34"/>
        <v>-27000.04</v>
      </c>
      <c r="Q29" s="550">
        <v>329</v>
      </c>
      <c r="R29" s="530">
        <v>20</v>
      </c>
      <c r="S29" s="531">
        <v>18</v>
      </c>
      <c r="T29" s="531">
        <v>17</v>
      </c>
      <c r="U29" s="531">
        <v>20</v>
      </c>
      <c r="V29" s="531">
        <v>19</v>
      </c>
      <c r="W29" s="531">
        <v>33</v>
      </c>
      <c r="X29" s="531">
        <v>23</v>
      </c>
      <c r="Y29" s="531">
        <v>23</v>
      </c>
      <c r="Z29" s="531">
        <v>38434</v>
      </c>
      <c r="AA29" s="531">
        <v>27</v>
      </c>
      <c r="AB29" s="531">
        <v>94017</v>
      </c>
      <c r="AC29" s="531">
        <v>23</v>
      </c>
      <c r="AD29" s="531">
        <f t="shared" si="28"/>
        <v>-132366</v>
      </c>
      <c r="AE29" s="550">
        <v>308</v>
      </c>
      <c r="AF29" s="530">
        <v>27523</v>
      </c>
      <c r="AG29" s="531">
        <v>32957</v>
      </c>
      <c r="AH29" s="531">
        <v>33173</v>
      </c>
      <c r="AI29" s="531">
        <v>39799</v>
      </c>
      <c r="AJ29" s="531">
        <v>5893</v>
      </c>
      <c r="AK29" s="531">
        <v>33447</v>
      </c>
      <c r="AL29" s="531">
        <v>65150.539999999804</v>
      </c>
      <c r="AM29" s="531">
        <v>34162.749999999985</v>
      </c>
      <c r="AN29" s="531">
        <v>72157.809999999925</v>
      </c>
      <c r="AO29" s="531">
        <v>39487.710000000021</v>
      </c>
      <c r="AP29" s="531">
        <v>27932</v>
      </c>
      <c r="AQ29" s="531">
        <v>36107.85</v>
      </c>
      <c r="AR29" s="531">
        <f t="shared" si="29"/>
        <v>26047.340000000258</v>
      </c>
      <c r="AS29" s="550">
        <v>473838</v>
      </c>
      <c r="AT29" s="530">
        <v>23776</v>
      </c>
      <c r="AU29" s="531">
        <v>32026</v>
      </c>
      <c r="AV29" s="531">
        <v>30304</v>
      </c>
      <c r="AW29" s="531">
        <v>61820</v>
      </c>
      <c r="AX29" s="531">
        <f t="shared" si="30"/>
        <v>33797</v>
      </c>
      <c r="AY29" s="531">
        <f t="shared" si="31"/>
        <v>33797</v>
      </c>
      <c r="AZ29" s="531">
        <f t="shared" si="31"/>
        <v>33797</v>
      </c>
      <c r="BA29" s="531">
        <f t="shared" si="31"/>
        <v>33797</v>
      </c>
      <c r="BB29" s="531">
        <f t="shared" si="31"/>
        <v>33797</v>
      </c>
      <c r="BC29" s="531">
        <f t="shared" si="31"/>
        <v>33797</v>
      </c>
      <c r="BD29" s="531">
        <f t="shared" si="31"/>
        <v>33797</v>
      </c>
      <c r="BE29" s="531">
        <f t="shared" si="31"/>
        <v>33797</v>
      </c>
      <c r="BF29" s="550">
        <v>418302</v>
      </c>
      <c r="BG29" s="530">
        <f t="shared" si="32"/>
        <v>51148.416666666664</v>
      </c>
      <c r="BH29" s="531">
        <f t="shared" si="33"/>
        <v>51148.416666666664</v>
      </c>
      <c r="BI29" s="531">
        <f t="shared" si="33"/>
        <v>51148.416666666664</v>
      </c>
      <c r="BJ29" s="531">
        <f t="shared" si="33"/>
        <v>51148.416666666664</v>
      </c>
      <c r="BK29" s="531">
        <f t="shared" si="33"/>
        <v>51148.416666666664</v>
      </c>
      <c r="BL29" s="531">
        <f t="shared" si="33"/>
        <v>51148.416666666664</v>
      </c>
      <c r="BM29" s="531">
        <f t="shared" si="33"/>
        <v>51148.416666666664</v>
      </c>
      <c r="BN29" s="531">
        <f t="shared" si="33"/>
        <v>51148.416666666664</v>
      </c>
      <c r="BO29" s="531">
        <f t="shared" si="33"/>
        <v>51148.416666666664</v>
      </c>
      <c r="BP29" s="531">
        <f t="shared" si="33"/>
        <v>51148.416666666664</v>
      </c>
      <c r="BQ29" s="531">
        <f t="shared" si="33"/>
        <v>51148.416666666664</v>
      </c>
      <c r="BR29" s="531">
        <f t="shared" si="33"/>
        <v>51148.416666666664</v>
      </c>
      <c r="BS29" s="550">
        <v>613781</v>
      </c>
    </row>
    <row r="30" spans="1:71" ht="15" customHeight="1">
      <c r="A30" s="527"/>
      <c r="B30" s="521" t="s">
        <v>119</v>
      </c>
      <c r="C30" s="529" t="s">
        <v>340</v>
      </c>
      <c r="D30" s="530">
        <v>0</v>
      </c>
      <c r="E30" s="531">
        <v>270647.42</v>
      </c>
      <c r="F30" s="531">
        <v>289590</v>
      </c>
      <c r="G30" s="531">
        <v>287760</v>
      </c>
      <c r="H30" s="531">
        <v>297810</v>
      </c>
      <c r="I30" s="531">
        <v>296089</v>
      </c>
      <c r="J30" s="531">
        <v>300739</v>
      </c>
      <c r="K30" s="531">
        <v>308810</v>
      </c>
      <c r="L30" s="531">
        <v>315676</v>
      </c>
      <c r="M30" s="531">
        <v>306355</v>
      </c>
      <c r="N30" s="531">
        <v>316694</v>
      </c>
      <c r="O30" s="531">
        <v>303798.67</v>
      </c>
      <c r="P30" s="531">
        <f t="shared" si="34"/>
        <v>2996738.91</v>
      </c>
      <c r="Q30" s="550">
        <v>6290708</v>
      </c>
      <c r="R30" s="530">
        <v>0</v>
      </c>
      <c r="S30" s="531">
        <v>1352121</v>
      </c>
      <c r="T30" s="531">
        <v>1498360</v>
      </c>
      <c r="U30" s="531">
        <v>1452907</v>
      </c>
      <c r="V30" s="531">
        <v>1466642</v>
      </c>
      <c r="W30" s="531">
        <v>1430881</v>
      </c>
      <c r="X30" s="531">
        <v>1458819</v>
      </c>
      <c r="Y30" s="531">
        <v>144775</v>
      </c>
      <c r="Z30" s="531">
        <v>746.92999999999984</v>
      </c>
      <c r="AA30" s="531">
        <v>-63</v>
      </c>
      <c r="AB30" s="531">
        <v>-115036</v>
      </c>
      <c r="AC30" s="531">
        <v>-1</v>
      </c>
      <c r="AD30" s="531">
        <f t="shared" si="28"/>
        <v>-2688450.9299999997</v>
      </c>
      <c r="AE30" s="550">
        <v>6001701</v>
      </c>
      <c r="AF30" s="530">
        <v>0</v>
      </c>
      <c r="AG30" s="531">
        <v>1342042</v>
      </c>
      <c r="AH30" s="531">
        <v>1437443</v>
      </c>
      <c r="AI30" s="531">
        <v>1805678</v>
      </c>
      <c r="AJ30" s="531">
        <v>1348396</v>
      </c>
      <c r="AK30" s="531">
        <v>1356619</v>
      </c>
      <c r="AL30" s="531">
        <v>1013443.9100000003</v>
      </c>
      <c r="AM30" s="531">
        <v>-1800707.83</v>
      </c>
      <c r="AN30" s="531">
        <v>1482628.93</v>
      </c>
      <c r="AO30" s="531">
        <v>1539150.5899999996</v>
      </c>
      <c r="AP30" s="531">
        <v>1093577</v>
      </c>
      <c r="AQ30" s="531">
        <v>498563.90999999992</v>
      </c>
      <c r="AR30" s="531">
        <f t="shared" si="29"/>
        <v>-3015133.51</v>
      </c>
      <c r="AS30" s="550">
        <v>8101701</v>
      </c>
      <c r="AT30" s="530">
        <v>0</v>
      </c>
      <c r="AU30" s="531">
        <v>1218196.1500000006</v>
      </c>
      <c r="AV30" s="531">
        <v>1422219</v>
      </c>
      <c r="AW30" s="531">
        <v>1400818</v>
      </c>
      <c r="AX30" s="531">
        <f t="shared" si="30"/>
        <v>245058.48124999995</v>
      </c>
      <c r="AY30" s="531">
        <f t="shared" si="31"/>
        <v>245058.48124999995</v>
      </c>
      <c r="AZ30" s="531">
        <f t="shared" si="31"/>
        <v>245058.48124999995</v>
      </c>
      <c r="BA30" s="531">
        <f t="shared" si="31"/>
        <v>245058.48124999995</v>
      </c>
      <c r="BB30" s="531">
        <f t="shared" si="31"/>
        <v>245058.48124999995</v>
      </c>
      <c r="BC30" s="531">
        <f t="shared" si="31"/>
        <v>245058.48124999995</v>
      </c>
      <c r="BD30" s="531">
        <f t="shared" si="31"/>
        <v>245058.48124999995</v>
      </c>
      <c r="BE30" s="531">
        <f t="shared" si="31"/>
        <v>245058.48124999995</v>
      </c>
      <c r="BF30" s="550">
        <v>6001701</v>
      </c>
      <c r="BG30" s="530">
        <f t="shared" si="32"/>
        <v>500141.75</v>
      </c>
      <c r="BH30" s="531">
        <f t="shared" si="33"/>
        <v>500141.75</v>
      </c>
      <c r="BI30" s="531">
        <f t="shared" si="33"/>
        <v>500141.75</v>
      </c>
      <c r="BJ30" s="531">
        <f t="shared" si="33"/>
        <v>500141.75</v>
      </c>
      <c r="BK30" s="531">
        <f t="shared" si="33"/>
        <v>500141.75</v>
      </c>
      <c r="BL30" s="531">
        <f t="shared" si="33"/>
        <v>500141.75</v>
      </c>
      <c r="BM30" s="531">
        <f t="shared" si="33"/>
        <v>500141.75</v>
      </c>
      <c r="BN30" s="531">
        <f t="shared" si="33"/>
        <v>500141.75</v>
      </c>
      <c r="BO30" s="531">
        <f t="shared" si="33"/>
        <v>500141.75</v>
      </c>
      <c r="BP30" s="531">
        <f t="shared" si="33"/>
        <v>500141.75</v>
      </c>
      <c r="BQ30" s="531">
        <f t="shared" si="33"/>
        <v>500141.75</v>
      </c>
      <c r="BR30" s="531">
        <f t="shared" si="33"/>
        <v>500141.75</v>
      </c>
      <c r="BS30" s="550">
        <v>6001701</v>
      </c>
    </row>
    <row r="31" spans="1:71">
      <c r="A31" s="527"/>
      <c r="B31" s="521" t="s">
        <v>118</v>
      </c>
      <c r="C31" s="529" t="s">
        <v>341</v>
      </c>
      <c r="D31" s="530">
        <v>0</v>
      </c>
      <c r="E31" s="531">
        <v>503067.85</v>
      </c>
      <c r="F31" s="531">
        <v>501798</v>
      </c>
      <c r="G31" s="531">
        <v>496349</v>
      </c>
      <c r="H31" s="531">
        <v>57896</v>
      </c>
      <c r="I31" s="531">
        <v>51371</v>
      </c>
      <c r="J31" s="531">
        <v>-29949</v>
      </c>
      <c r="K31" s="531">
        <v>46451</v>
      </c>
      <c r="L31" s="531">
        <v>54107</v>
      </c>
      <c r="M31" s="531">
        <v>49459</v>
      </c>
      <c r="N31" s="531">
        <v>6733</v>
      </c>
      <c r="O31" s="531">
        <v>52403.12</v>
      </c>
      <c r="P31" s="531">
        <f t="shared" si="34"/>
        <v>-226804.9700000002</v>
      </c>
      <c r="Q31" s="550">
        <v>1562881</v>
      </c>
      <c r="R31" s="530">
        <v>0</v>
      </c>
      <c r="S31" s="531">
        <v>0</v>
      </c>
      <c r="T31" s="531">
        <v>516835</v>
      </c>
      <c r="U31" s="531">
        <v>9294</v>
      </c>
      <c r="V31" s="531">
        <v>0</v>
      </c>
      <c r="W31" s="531">
        <v>0</v>
      </c>
      <c r="X31" s="531">
        <v>1693</v>
      </c>
      <c r="Y31" s="531">
        <v>21</v>
      </c>
      <c r="Z31" s="531">
        <v>0</v>
      </c>
      <c r="AA31" s="531">
        <v>0</v>
      </c>
      <c r="AB31" s="531">
        <v>151</v>
      </c>
      <c r="AC31" s="531">
        <v>0</v>
      </c>
      <c r="AD31" s="531">
        <f t="shared" si="28"/>
        <v>1091625</v>
      </c>
      <c r="AE31" s="550">
        <v>1619619</v>
      </c>
      <c r="AF31" s="530">
        <v>0</v>
      </c>
      <c r="AG31" s="531">
        <v>489224</v>
      </c>
      <c r="AH31" s="531">
        <v>504655</v>
      </c>
      <c r="AI31" s="531">
        <v>578473</v>
      </c>
      <c r="AJ31" s="531">
        <v>4863.1899999999996</v>
      </c>
      <c r="AK31" s="531">
        <v>0</v>
      </c>
      <c r="AL31" s="531">
        <v>-17268.150000000001</v>
      </c>
      <c r="AM31" s="531">
        <v>0</v>
      </c>
      <c r="AN31" s="531">
        <v>266.06</v>
      </c>
      <c r="AO31" s="531">
        <v>0</v>
      </c>
      <c r="AP31" s="531">
        <v>169</v>
      </c>
      <c r="AQ31" s="531">
        <v>0</v>
      </c>
      <c r="AR31" s="531">
        <f t="shared" si="29"/>
        <v>155385.89999999991</v>
      </c>
      <c r="AS31" s="550">
        <v>1715768</v>
      </c>
      <c r="AT31" s="530">
        <v>0</v>
      </c>
      <c r="AU31" s="531">
        <v>551026.49</v>
      </c>
      <c r="AV31" s="531">
        <v>597890</v>
      </c>
      <c r="AW31" s="531">
        <v>595184</v>
      </c>
      <c r="AX31" s="531">
        <f t="shared" si="30"/>
        <v>-31236.436249999999</v>
      </c>
      <c r="AY31" s="531">
        <f t="shared" si="31"/>
        <v>-31236.436249999999</v>
      </c>
      <c r="AZ31" s="531">
        <f t="shared" si="31"/>
        <v>-31236.436249999999</v>
      </c>
      <c r="BA31" s="531">
        <f t="shared" si="31"/>
        <v>-31236.436249999999</v>
      </c>
      <c r="BB31" s="531">
        <f t="shared" si="31"/>
        <v>-31236.436249999999</v>
      </c>
      <c r="BC31" s="531">
        <f t="shared" si="31"/>
        <v>-31236.436249999999</v>
      </c>
      <c r="BD31" s="531">
        <f t="shared" si="31"/>
        <v>-31236.436249999999</v>
      </c>
      <c r="BE31" s="531">
        <f t="shared" si="31"/>
        <v>-31236.436249999999</v>
      </c>
      <c r="BF31" s="550">
        <v>1494209</v>
      </c>
      <c r="BG31" s="530">
        <f t="shared" si="32"/>
        <v>124517.41666666667</v>
      </c>
      <c r="BH31" s="531">
        <f t="shared" si="33"/>
        <v>124517.41666666667</v>
      </c>
      <c r="BI31" s="531">
        <f t="shared" si="33"/>
        <v>124517.41666666667</v>
      </c>
      <c r="BJ31" s="531">
        <f t="shared" si="33"/>
        <v>124517.41666666667</v>
      </c>
      <c r="BK31" s="531">
        <f t="shared" si="33"/>
        <v>124517.41666666667</v>
      </c>
      <c r="BL31" s="531">
        <f t="shared" si="33"/>
        <v>124517.41666666667</v>
      </c>
      <c r="BM31" s="531">
        <f t="shared" si="33"/>
        <v>124517.41666666667</v>
      </c>
      <c r="BN31" s="531">
        <f t="shared" si="33"/>
        <v>124517.41666666667</v>
      </c>
      <c r="BO31" s="531">
        <f t="shared" si="33"/>
        <v>124517.41666666667</v>
      </c>
      <c r="BP31" s="531">
        <f t="shared" si="33"/>
        <v>124517.41666666667</v>
      </c>
      <c r="BQ31" s="531">
        <f t="shared" si="33"/>
        <v>124517.41666666667</v>
      </c>
      <c r="BR31" s="531">
        <f t="shared" si="33"/>
        <v>124517.41666666667</v>
      </c>
      <c r="BS31" s="550">
        <v>1494209</v>
      </c>
    </row>
    <row r="32" spans="1:71">
      <c r="A32" s="527"/>
      <c r="B32" s="521" t="s">
        <v>367</v>
      </c>
      <c r="C32" s="529" t="s">
        <v>369</v>
      </c>
      <c r="D32" s="530">
        <v>0</v>
      </c>
      <c r="E32" s="531">
        <v>0</v>
      </c>
      <c r="F32" s="531">
        <v>0</v>
      </c>
      <c r="G32" s="531">
        <v>0</v>
      </c>
      <c r="H32" s="531">
        <v>0</v>
      </c>
      <c r="I32" s="531">
        <v>0</v>
      </c>
      <c r="J32" s="531">
        <v>0</v>
      </c>
      <c r="K32" s="531">
        <v>0</v>
      </c>
      <c r="L32" s="531">
        <v>0</v>
      </c>
      <c r="M32" s="531">
        <v>0</v>
      </c>
      <c r="N32" s="531">
        <v>156192</v>
      </c>
      <c r="O32" s="531">
        <v>0</v>
      </c>
      <c r="P32" s="531">
        <f t="shared" si="34"/>
        <v>0</v>
      </c>
      <c r="Q32" s="550">
        <v>156192</v>
      </c>
      <c r="R32" s="530">
        <v>0</v>
      </c>
      <c r="S32" s="531">
        <v>0</v>
      </c>
      <c r="T32" s="531">
        <v>0</v>
      </c>
      <c r="U32" s="531">
        <v>0</v>
      </c>
      <c r="V32" s="531">
        <v>0</v>
      </c>
      <c r="W32" s="531">
        <v>0</v>
      </c>
      <c r="X32" s="531">
        <v>0</v>
      </c>
      <c r="Y32" s="531">
        <v>0</v>
      </c>
      <c r="Z32" s="531">
        <v>0</v>
      </c>
      <c r="AA32" s="531">
        <v>425969</v>
      </c>
      <c r="AB32" s="531">
        <v>0</v>
      </c>
      <c r="AC32" s="531">
        <v>0</v>
      </c>
      <c r="AD32" s="531">
        <f t="shared" si="28"/>
        <v>0</v>
      </c>
      <c r="AE32" s="550">
        <v>425969</v>
      </c>
      <c r="AF32" s="530">
        <v>0</v>
      </c>
      <c r="AG32" s="531">
        <v>0</v>
      </c>
      <c r="AH32" s="531">
        <v>0</v>
      </c>
      <c r="AI32" s="531">
        <v>0</v>
      </c>
      <c r="AJ32" s="531">
        <v>0</v>
      </c>
      <c r="AK32" s="531">
        <v>0</v>
      </c>
      <c r="AL32" s="531">
        <v>0</v>
      </c>
      <c r="AM32" s="531">
        <v>0</v>
      </c>
      <c r="AN32" s="531">
        <v>0</v>
      </c>
      <c r="AO32" s="531">
        <v>0</v>
      </c>
      <c r="AP32" s="531">
        <v>0</v>
      </c>
      <c r="AQ32" s="531">
        <v>0</v>
      </c>
      <c r="AR32" s="531">
        <f t="shared" si="29"/>
        <v>550010</v>
      </c>
      <c r="AS32" s="550">
        <v>550010</v>
      </c>
      <c r="AT32" s="530">
        <v>0</v>
      </c>
      <c r="AU32" s="531">
        <v>0</v>
      </c>
      <c r="AV32" s="531">
        <v>0</v>
      </c>
      <c r="AW32" s="531">
        <v>3873</v>
      </c>
      <c r="AX32" s="531">
        <f t="shared" si="30"/>
        <v>0</v>
      </c>
      <c r="AY32" s="531">
        <f t="shared" si="31"/>
        <v>0</v>
      </c>
      <c r="AZ32" s="531">
        <f t="shared" si="31"/>
        <v>0</v>
      </c>
      <c r="BA32" s="531">
        <f t="shared" si="31"/>
        <v>0</v>
      </c>
      <c r="BB32" s="531">
        <f t="shared" si="31"/>
        <v>0</v>
      </c>
      <c r="BC32" s="531">
        <f t="shared" si="31"/>
        <v>0</v>
      </c>
      <c r="BD32" s="531">
        <f t="shared" si="31"/>
        <v>0</v>
      </c>
      <c r="BE32" s="531">
        <f t="shared" si="31"/>
        <v>0</v>
      </c>
      <c r="BF32" s="550">
        <v>3873</v>
      </c>
      <c r="BG32" s="530">
        <f t="shared" si="32"/>
        <v>0</v>
      </c>
      <c r="BH32" s="531">
        <f t="shared" si="33"/>
        <v>0</v>
      </c>
      <c r="BI32" s="531">
        <f t="shared" si="33"/>
        <v>0</v>
      </c>
      <c r="BJ32" s="531">
        <f t="shared" si="33"/>
        <v>0</v>
      </c>
      <c r="BK32" s="531">
        <f t="shared" si="33"/>
        <v>0</v>
      </c>
      <c r="BL32" s="531">
        <f t="shared" si="33"/>
        <v>0</v>
      </c>
      <c r="BM32" s="531">
        <f t="shared" si="33"/>
        <v>0</v>
      </c>
      <c r="BN32" s="531">
        <f t="shared" si="33"/>
        <v>0</v>
      </c>
      <c r="BO32" s="531">
        <f t="shared" si="33"/>
        <v>0</v>
      </c>
      <c r="BP32" s="531">
        <f t="shared" si="33"/>
        <v>0</v>
      </c>
      <c r="BQ32" s="531">
        <f t="shared" si="33"/>
        <v>0</v>
      </c>
      <c r="BR32" s="531">
        <f t="shared" si="33"/>
        <v>0</v>
      </c>
      <c r="BS32" s="550">
        <v>0</v>
      </c>
    </row>
    <row r="33" spans="1:71" ht="15" customHeight="1">
      <c r="A33" s="527"/>
      <c r="B33" s="521" t="s">
        <v>439</v>
      </c>
      <c r="C33" s="529" t="s">
        <v>63</v>
      </c>
      <c r="D33" s="530">
        <v>0</v>
      </c>
      <c r="E33" s="531">
        <v>23884895.41</v>
      </c>
      <c r="F33" s="531">
        <v>25633599</v>
      </c>
      <c r="G33" s="531">
        <v>25448659</v>
      </c>
      <c r="H33" s="531">
        <v>26408403</v>
      </c>
      <c r="I33" s="531">
        <v>26221273</v>
      </c>
      <c r="J33" s="531">
        <v>26690306</v>
      </c>
      <c r="K33" s="531">
        <v>27451255</v>
      </c>
      <c r="L33" s="531">
        <v>28063807</v>
      </c>
      <c r="M33" s="531">
        <v>27221728</v>
      </c>
      <c r="N33" s="531">
        <v>1199946</v>
      </c>
      <c r="O33" s="531">
        <v>-3552</v>
      </c>
      <c r="P33" s="531">
        <f t="shared" si="34"/>
        <v>-120179480.41</v>
      </c>
      <c r="Q33" s="550">
        <v>118040839</v>
      </c>
      <c r="R33" s="530">
        <v>0</v>
      </c>
      <c r="S33" s="531">
        <v>25205040</v>
      </c>
      <c r="T33" s="531">
        <v>28047423</v>
      </c>
      <c r="U33" s="531">
        <v>28327801</v>
      </c>
      <c r="V33" s="531">
        <v>27686596</v>
      </c>
      <c r="W33" s="531">
        <v>27290635</v>
      </c>
      <c r="X33" s="531">
        <v>27942036</v>
      </c>
      <c r="Y33" s="531">
        <v>1662727</v>
      </c>
      <c r="Z33" s="531">
        <v>383836.74000000005</v>
      </c>
      <c r="AA33" s="531">
        <v>343021</v>
      </c>
      <c r="AB33" s="531">
        <v>-11905721</v>
      </c>
      <c r="AC33" s="531">
        <v>-66256490</v>
      </c>
      <c r="AD33" s="531">
        <f t="shared" si="28"/>
        <v>37808890.25999999</v>
      </c>
      <c r="AE33" s="550">
        <v>126535795</v>
      </c>
      <c r="AF33" s="530">
        <v>0</v>
      </c>
      <c r="AG33" s="531">
        <v>23338802</v>
      </c>
      <c r="AH33" s="531">
        <v>24966932</v>
      </c>
      <c r="AI33" s="531">
        <v>30382120</v>
      </c>
      <c r="AJ33" s="531">
        <v>24124289</v>
      </c>
      <c r="AK33" s="531">
        <v>24073799</v>
      </c>
      <c r="AL33" s="531">
        <v>30166341.619999982</v>
      </c>
      <c r="AM33" s="531">
        <v>16295429</v>
      </c>
      <c r="AN33" s="531">
        <v>25998439.430000003</v>
      </c>
      <c r="AO33" s="531">
        <v>-48272551.870000005</v>
      </c>
      <c r="AP33" s="531">
        <v>-24657480</v>
      </c>
      <c r="AQ33" s="531">
        <v>27046055.40000001</v>
      </c>
      <c r="AR33" s="531">
        <f t="shared" si="29"/>
        <v>-27333775.579999983</v>
      </c>
      <c r="AS33" s="550">
        <v>126128400</v>
      </c>
      <c r="AT33" s="530">
        <v>0</v>
      </c>
      <c r="AU33" s="531">
        <v>26110587</v>
      </c>
      <c r="AV33" s="531">
        <v>28789513</v>
      </c>
      <c r="AW33" s="531">
        <v>29134790</v>
      </c>
      <c r="AX33" s="531">
        <f t="shared" si="30"/>
        <v>5261688.75</v>
      </c>
      <c r="AY33" s="531">
        <f t="shared" si="31"/>
        <v>5261688.75</v>
      </c>
      <c r="AZ33" s="531">
        <f t="shared" si="31"/>
        <v>5261688.75</v>
      </c>
      <c r="BA33" s="531">
        <f t="shared" si="31"/>
        <v>5261688.75</v>
      </c>
      <c r="BB33" s="531">
        <f t="shared" si="31"/>
        <v>5261688.75</v>
      </c>
      <c r="BC33" s="531">
        <f t="shared" si="31"/>
        <v>5261688.75</v>
      </c>
      <c r="BD33" s="531">
        <f t="shared" si="31"/>
        <v>5261688.75</v>
      </c>
      <c r="BE33" s="531">
        <f t="shared" si="31"/>
        <v>5261688.75</v>
      </c>
      <c r="BF33" s="550">
        <v>126128400</v>
      </c>
      <c r="BG33" s="530">
        <f t="shared" si="32"/>
        <v>10510700</v>
      </c>
      <c r="BH33" s="531">
        <f t="shared" si="33"/>
        <v>10510700</v>
      </c>
      <c r="BI33" s="531">
        <f t="shared" si="33"/>
        <v>10510700</v>
      </c>
      <c r="BJ33" s="531">
        <f t="shared" si="33"/>
        <v>10510700</v>
      </c>
      <c r="BK33" s="531">
        <f t="shared" si="33"/>
        <v>10510700</v>
      </c>
      <c r="BL33" s="531">
        <f t="shared" si="33"/>
        <v>10510700</v>
      </c>
      <c r="BM33" s="531">
        <f t="shared" si="33"/>
        <v>10510700</v>
      </c>
      <c r="BN33" s="531">
        <f t="shared" si="33"/>
        <v>10510700</v>
      </c>
      <c r="BO33" s="531">
        <f t="shared" si="33"/>
        <v>10510700</v>
      </c>
      <c r="BP33" s="531">
        <f t="shared" si="33"/>
        <v>10510700</v>
      </c>
      <c r="BQ33" s="531">
        <f t="shared" si="33"/>
        <v>10510700</v>
      </c>
      <c r="BR33" s="531">
        <f t="shared" si="33"/>
        <v>10510700</v>
      </c>
      <c r="BS33" s="550">
        <v>126128400</v>
      </c>
    </row>
    <row r="34" spans="1:71">
      <c r="A34" s="527"/>
      <c r="B34" s="521" t="s">
        <v>464</v>
      </c>
      <c r="C34" s="529" t="s">
        <v>569</v>
      </c>
      <c r="D34" s="530">
        <v>0</v>
      </c>
      <c r="E34" s="531">
        <v>0</v>
      </c>
      <c r="F34" s="531">
        <v>0</v>
      </c>
      <c r="G34" s="531">
        <v>0</v>
      </c>
      <c r="H34" s="531">
        <v>0</v>
      </c>
      <c r="I34" s="531">
        <v>0</v>
      </c>
      <c r="J34" s="531">
        <v>0</v>
      </c>
      <c r="K34" s="531">
        <v>0</v>
      </c>
      <c r="L34" s="531">
        <v>0</v>
      </c>
      <c r="M34" s="531">
        <v>0</v>
      </c>
      <c r="N34" s="531">
        <v>0</v>
      </c>
      <c r="O34" s="531">
        <v>0</v>
      </c>
      <c r="P34" s="531">
        <f t="shared" si="34"/>
        <v>138745</v>
      </c>
      <c r="Q34" s="550">
        <v>138745</v>
      </c>
      <c r="R34" s="530">
        <v>0</v>
      </c>
      <c r="S34" s="531">
        <v>0</v>
      </c>
      <c r="T34" s="531">
        <v>0</v>
      </c>
      <c r="U34" s="531">
        <f t="shared" ref="U34:U42" si="39">(AE34-R34-S34-T34)/9</f>
        <v>0</v>
      </c>
      <c r="V34" s="531">
        <f t="shared" ref="V34:V42" si="40">(AE34-R34-S34-T34-U34)/8</f>
        <v>0</v>
      </c>
      <c r="W34" s="531">
        <f t="shared" ref="W34:W42" si="41">(AE34-R34-S34-T34-U34-V34)/7</f>
        <v>0</v>
      </c>
      <c r="X34" s="531">
        <f t="shared" ref="X34:X39" si="42">(AE34-D34-E34-F34-G34-H34-I34)/6</f>
        <v>0</v>
      </c>
      <c r="Y34" s="531">
        <v>0</v>
      </c>
      <c r="Z34" s="531">
        <f t="shared" ref="Z34:Z42" si="43">(AE34-R34-S34-T34-U34-V34-W34-X34-Y34)/4</f>
        <v>0</v>
      </c>
      <c r="AA34" s="531">
        <v>0</v>
      </c>
      <c r="AB34" s="531">
        <f t="shared" ref="AB34:AB39" si="44">(AE34-R34-S34-T34-U34-V34-W34-X34-Y34-Z34-AA34)/2</f>
        <v>0</v>
      </c>
      <c r="AC34" s="531">
        <f t="shared" ref="AC34:AC42" si="45">AE34-R34-S34-T34-U34-V34-W34-X34-Y34-Z34-AA34-AB34</f>
        <v>0</v>
      </c>
      <c r="AD34" s="531">
        <f t="shared" si="28"/>
        <v>0</v>
      </c>
      <c r="AE34" s="550">
        <v>0</v>
      </c>
      <c r="AF34" s="530">
        <v>0</v>
      </c>
      <c r="AG34" s="531">
        <f t="shared" ref="AG34" si="46">(AS34-AF34)/11</f>
        <v>0</v>
      </c>
      <c r="AH34" s="531">
        <f t="shared" ref="AH34:AH39" si="47">(AS34-AF34-AG34)/10</f>
        <v>0</v>
      </c>
      <c r="AI34" s="531">
        <f t="shared" ref="AI34:AI39" si="48">(AS34-AF34-AG34-AH34)/9</f>
        <v>0</v>
      </c>
      <c r="AJ34" s="531">
        <f t="shared" si="19"/>
        <v>0</v>
      </c>
      <c r="AK34" s="531">
        <f t="shared" ref="AK34" si="49">(AS34-AF34-AG34-AH34-AI34-AJ34)/7</f>
        <v>0</v>
      </c>
      <c r="AL34" s="531">
        <f t="shared" ref="AL34:AL39" si="50">(AS34-AF34-AG34-AH34-AI34-AJ34-AK34)/6</f>
        <v>0</v>
      </c>
      <c r="AM34" s="531">
        <f t="shared" ref="AM34:AM39" si="51">(AS34-AF34-AG34-AH34-AI34-AJ34-AK34-AL34)/5</f>
        <v>0</v>
      </c>
      <c r="AN34" s="531">
        <f t="shared" ref="AN34:AN39" si="52">(AS34-AF34-AG34-AH34-AI34-AJ34-AK34-AL34-AM34)/4</f>
        <v>0</v>
      </c>
      <c r="AO34" s="531">
        <f t="shared" ref="AO34" si="53">(AS34-AF34-AG34-AH34-AI34-AJ34-AK34-AL34--AM34-AN34)/3</f>
        <v>0</v>
      </c>
      <c r="AP34" s="531">
        <v>0</v>
      </c>
      <c r="AQ34" s="531">
        <f t="shared" ref="AQ34:AQ39" si="54">AS34-AF34-AG34-AH34-AI34-AJ34-AK34-AL34-AM34-AN34-AO34-AP34</f>
        <v>0</v>
      </c>
      <c r="AR34" s="531">
        <f t="shared" si="29"/>
        <v>0</v>
      </c>
      <c r="AS34" s="550">
        <v>0</v>
      </c>
      <c r="AT34" s="530">
        <v>0</v>
      </c>
      <c r="AU34" s="531">
        <v>0</v>
      </c>
      <c r="AV34" s="531">
        <v>0</v>
      </c>
      <c r="AW34" s="531">
        <v>80000</v>
      </c>
      <c r="AX34" s="531">
        <f t="shared" si="30"/>
        <v>765000</v>
      </c>
      <c r="AY34" s="531">
        <f t="shared" si="31"/>
        <v>765000</v>
      </c>
      <c r="AZ34" s="531">
        <f t="shared" si="31"/>
        <v>765000</v>
      </c>
      <c r="BA34" s="531">
        <f t="shared" si="31"/>
        <v>765000</v>
      </c>
      <c r="BB34" s="531">
        <f t="shared" si="31"/>
        <v>765000</v>
      </c>
      <c r="BC34" s="531">
        <f t="shared" si="31"/>
        <v>765000</v>
      </c>
      <c r="BD34" s="531">
        <f t="shared" si="31"/>
        <v>765000</v>
      </c>
      <c r="BE34" s="531">
        <f t="shared" si="31"/>
        <v>765000</v>
      </c>
      <c r="BF34" s="550">
        <v>6200000</v>
      </c>
      <c r="BG34" s="530">
        <f t="shared" si="32"/>
        <v>516666.66666666669</v>
      </c>
      <c r="BH34" s="531">
        <f t="shared" si="33"/>
        <v>516666.66666666669</v>
      </c>
      <c r="BI34" s="531">
        <f t="shared" si="33"/>
        <v>516666.66666666669</v>
      </c>
      <c r="BJ34" s="531">
        <f t="shared" si="33"/>
        <v>516666.66666666669</v>
      </c>
      <c r="BK34" s="531">
        <f t="shared" si="33"/>
        <v>516666.66666666669</v>
      </c>
      <c r="BL34" s="531">
        <f t="shared" si="33"/>
        <v>516666.66666666669</v>
      </c>
      <c r="BM34" s="531">
        <f t="shared" si="33"/>
        <v>516666.66666666669</v>
      </c>
      <c r="BN34" s="531">
        <f t="shared" si="33"/>
        <v>516666.66666666669</v>
      </c>
      <c r="BO34" s="531">
        <f t="shared" si="33"/>
        <v>516666.66666666669</v>
      </c>
      <c r="BP34" s="531">
        <f t="shared" si="33"/>
        <v>516666.66666666669</v>
      </c>
      <c r="BQ34" s="531">
        <f t="shared" si="33"/>
        <v>516666.66666666669</v>
      </c>
      <c r="BR34" s="531">
        <f t="shared" si="33"/>
        <v>516666.66666666669</v>
      </c>
      <c r="BS34" s="550">
        <v>6200000</v>
      </c>
    </row>
    <row r="35" spans="1:71">
      <c r="A35" s="527"/>
      <c r="B35" s="521" t="s">
        <v>446</v>
      </c>
      <c r="C35" s="529" t="s">
        <v>71</v>
      </c>
      <c r="D35" s="530">
        <v>0</v>
      </c>
      <c r="E35" s="531">
        <v>10262343.67</v>
      </c>
      <c r="F35" s="531">
        <v>11013702</v>
      </c>
      <c r="G35" s="531">
        <v>10934317</v>
      </c>
      <c r="H35" s="531">
        <v>11346700</v>
      </c>
      <c r="I35" s="531">
        <v>380878</v>
      </c>
      <c r="J35" s="531">
        <v>-75</v>
      </c>
      <c r="K35" s="531">
        <v>226235</v>
      </c>
      <c r="L35" s="531">
        <v>-3738</v>
      </c>
      <c r="M35" s="531">
        <v>0</v>
      </c>
      <c r="N35" s="531">
        <v>2609220</v>
      </c>
      <c r="O35" s="531">
        <v>-967</v>
      </c>
      <c r="P35" s="531">
        <f t="shared" si="34"/>
        <v>-26728767.670000002</v>
      </c>
      <c r="Q35" s="550">
        <v>20039848</v>
      </c>
      <c r="R35" s="530">
        <v>0</v>
      </c>
      <c r="S35" s="531">
        <v>10383601</v>
      </c>
      <c r="T35" s="531">
        <v>11554582</v>
      </c>
      <c r="U35" s="531">
        <v>11670081</v>
      </c>
      <c r="V35" s="531">
        <v>401241</v>
      </c>
      <c r="W35" s="531">
        <v>29302</v>
      </c>
      <c r="X35" s="531">
        <v>208</v>
      </c>
      <c r="Y35" s="531">
        <v>805</v>
      </c>
      <c r="Z35" s="531">
        <v>347</v>
      </c>
      <c r="AA35" s="531">
        <v>-1216</v>
      </c>
      <c r="AB35" s="531">
        <v>9814983</v>
      </c>
      <c r="AC35" s="531">
        <v>-23991711</v>
      </c>
      <c r="AD35" s="531">
        <f t="shared" si="28"/>
        <v>-4220</v>
      </c>
      <c r="AE35" s="550">
        <v>19858003</v>
      </c>
      <c r="AF35" s="530">
        <v>0</v>
      </c>
      <c r="AG35" s="531">
        <v>14612429</v>
      </c>
      <c r="AH35" s="531">
        <v>15631890</v>
      </c>
      <c r="AI35" s="531">
        <v>19022606</v>
      </c>
      <c r="AJ35" s="531">
        <v>103793.63000000003</v>
      </c>
      <c r="AK35" s="531">
        <v>14008</v>
      </c>
      <c r="AL35" s="531">
        <v>-7975211.8700000085</v>
      </c>
      <c r="AM35" s="531">
        <v>-18278600</v>
      </c>
      <c r="AN35" s="531">
        <v>-489.38</v>
      </c>
      <c r="AO35" s="531">
        <v>-695.91</v>
      </c>
      <c r="AP35" s="531">
        <v>-15234</v>
      </c>
      <c r="AQ35" s="531">
        <v>-4079313.19</v>
      </c>
      <c r="AR35" s="531">
        <f t="shared" si="29"/>
        <v>372056.72000000998</v>
      </c>
      <c r="AS35" s="550">
        <v>19407239</v>
      </c>
      <c r="AT35" s="530">
        <v>0</v>
      </c>
      <c r="AU35" s="531">
        <v>10442977</v>
      </c>
      <c r="AV35" s="531">
        <v>11514402</v>
      </c>
      <c r="AW35" s="531">
        <v>11614670</v>
      </c>
      <c r="AX35" s="531">
        <f t="shared" si="30"/>
        <v>-1714255.75</v>
      </c>
      <c r="AY35" s="531">
        <f t="shared" si="31"/>
        <v>-1714255.75</v>
      </c>
      <c r="AZ35" s="531">
        <f t="shared" si="31"/>
        <v>-1714255.75</v>
      </c>
      <c r="BA35" s="531">
        <f t="shared" si="31"/>
        <v>-1714255.75</v>
      </c>
      <c r="BB35" s="531">
        <f t="shared" si="31"/>
        <v>-1714255.75</v>
      </c>
      <c r="BC35" s="531">
        <f t="shared" si="31"/>
        <v>-1714255.75</v>
      </c>
      <c r="BD35" s="531">
        <f t="shared" si="31"/>
        <v>-1714255.75</v>
      </c>
      <c r="BE35" s="531">
        <f t="shared" si="31"/>
        <v>-1714255.75</v>
      </c>
      <c r="BF35" s="550">
        <v>19858003</v>
      </c>
      <c r="BG35" s="530">
        <f t="shared" si="32"/>
        <v>1654833.5833333333</v>
      </c>
      <c r="BH35" s="531">
        <f t="shared" si="33"/>
        <v>1654833.5833333333</v>
      </c>
      <c r="BI35" s="531">
        <f t="shared" si="33"/>
        <v>1654833.5833333333</v>
      </c>
      <c r="BJ35" s="531">
        <f t="shared" si="33"/>
        <v>1654833.5833333333</v>
      </c>
      <c r="BK35" s="531">
        <f t="shared" si="33"/>
        <v>1654833.5833333333</v>
      </c>
      <c r="BL35" s="531">
        <f t="shared" si="33"/>
        <v>1654833.5833333333</v>
      </c>
      <c r="BM35" s="531">
        <f t="shared" si="33"/>
        <v>1654833.5833333333</v>
      </c>
      <c r="BN35" s="531">
        <f t="shared" si="33"/>
        <v>1654833.5833333333</v>
      </c>
      <c r="BO35" s="531">
        <f t="shared" si="33"/>
        <v>1654833.5833333333</v>
      </c>
      <c r="BP35" s="531">
        <f t="shared" si="33"/>
        <v>1654833.5833333333</v>
      </c>
      <c r="BQ35" s="531">
        <f t="shared" si="33"/>
        <v>1654833.5833333333</v>
      </c>
      <c r="BR35" s="531">
        <f t="shared" si="33"/>
        <v>1654833.5833333333</v>
      </c>
      <c r="BS35" s="550">
        <v>19858003</v>
      </c>
    </row>
    <row r="36" spans="1:71">
      <c r="A36" s="527"/>
      <c r="B36" s="521" t="s">
        <v>455</v>
      </c>
      <c r="C36" s="529" t="s">
        <v>456</v>
      </c>
      <c r="D36" s="530"/>
      <c r="E36" s="531"/>
      <c r="F36" s="531"/>
      <c r="G36" s="531"/>
      <c r="H36" s="531"/>
      <c r="I36" s="531"/>
      <c r="J36" s="531"/>
      <c r="K36" s="531"/>
      <c r="L36" s="531"/>
      <c r="M36" s="531"/>
      <c r="N36" s="531"/>
      <c r="O36" s="531"/>
      <c r="P36" s="531"/>
      <c r="Q36" s="550"/>
      <c r="R36" s="530"/>
      <c r="S36" s="531"/>
      <c r="T36" s="531"/>
      <c r="U36" s="531"/>
      <c r="V36" s="531"/>
      <c r="W36" s="531"/>
      <c r="X36" s="531"/>
      <c r="Y36" s="531"/>
      <c r="Z36" s="531"/>
      <c r="AA36" s="531"/>
      <c r="AB36" s="531"/>
      <c r="AC36" s="531">
        <v>792364</v>
      </c>
      <c r="AD36" s="531">
        <f t="shared" si="28"/>
        <v>401491</v>
      </c>
      <c r="AE36" s="550">
        <v>1193855</v>
      </c>
      <c r="AF36" s="530">
        <v>0</v>
      </c>
      <c r="AG36" s="531">
        <v>0</v>
      </c>
      <c r="AH36" s="531">
        <v>190328</v>
      </c>
      <c r="AI36" s="531">
        <v>78158</v>
      </c>
      <c r="AJ36" s="531">
        <v>42787.73</v>
      </c>
      <c r="AK36" s="531">
        <v>269</v>
      </c>
      <c r="AL36" s="531">
        <v>0</v>
      </c>
      <c r="AM36" s="531">
        <v>0</v>
      </c>
      <c r="AN36" s="531">
        <v>42950.35</v>
      </c>
      <c r="AO36" s="531">
        <v>6705.84</v>
      </c>
      <c r="AP36" s="531">
        <v>0</v>
      </c>
      <c r="AQ36" s="531">
        <v>0</v>
      </c>
      <c r="AR36" s="531">
        <f t="shared" si="29"/>
        <v>362651.08</v>
      </c>
      <c r="AS36" s="550">
        <v>723850</v>
      </c>
      <c r="AT36" s="530">
        <v>0</v>
      </c>
      <c r="AU36" s="531">
        <v>0</v>
      </c>
      <c r="AV36" s="531">
        <f t="shared" ref="AV36:AV43" si="55">(BF36-AT36-AU36)/10</f>
        <v>0</v>
      </c>
      <c r="AW36" s="531">
        <f t="shared" ref="AW36:AW43" si="56">(BF36-AT36-AU36-AV36)/9</f>
        <v>0</v>
      </c>
      <c r="AX36" s="531">
        <f t="shared" si="30"/>
        <v>0</v>
      </c>
      <c r="AY36" s="531">
        <f t="shared" si="31"/>
        <v>0</v>
      </c>
      <c r="AZ36" s="531">
        <f t="shared" si="31"/>
        <v>0</v>
      </c>
      <c r="BA36" s="531">
        <f t="shared" si="31"/>
        <v>0</v>
      </c>
      <c r="BB36" s="531">
        <f t="shared" si="31"/>
        <v>0</v>
      </c>
      <c r="BC36" s="531">
        <f t="shared" si="31"/>
        <v>0</v>
      </c>
      <c r="BD36" s="531">
        <f t="shared" si="31"/>
        <v>0</v>
      </c>
      <c r="BE36" s="531">
        <f t="shared" si="31"/>
        <v>0</v>
      </c>
      <c r="BF36" s="550">
        <v>0</v>
      </c>
      <c r="BG36" s="530">
        <f t="shared" si="32"/>
        <v>0</v>
      </c>
      <c r="BH36" s="531">
        <f t="shared" si="33"/>
        <v>0</v>
      </c>
      <c r="BI36" s="531">
        <f t="shared" si="33"/>
        <v>0</v>
      </c>
      <c r="BJ36" s="531">
        <f t="shared" si="33"/>
        <v>0</v>
      </c>
      <c r="BK36" s="531">
        <f t="shared" si="33"/>
        <v>0</v>
      </c>
      <c r="BL36" s="531">
        <f t="shared" si="33"/>
        <v>0</v>
      </c>
      <c r="BM36" s="531">
        <f t="shared" si="33"/>
        <v>0</v>
      </c>
      <c r="BN36" s="531">
        <f t="shared" si="33"/>
        <v>0</v>
      </c>
      <c r="BO36" s="531">
        <f t="shared" si="33"/>
        <v>0</v>
      </c>
      <c r="BP36" s="531">
        <f t="shared" si="33"/>
        <v>0</v>
      </c>
      <c r="BQ36" s="531">
        <f t="shared" si="33"/>
        <v>0</v>
      </c>
      <c r="BR36" s="531">
        <f t="shared" si="33"/>
        <v>0</v>
      </c>
      <c r="BS36" s="550">
        <v>0</v>
      </c>
    </row>
    <row r="37" spans="1:71">
      <c r="A37" s="527"/>
      <c r="B37" s="521" t="s">
        <v>74</v>
      </c>
      <c r="C37" s="529" t="s">
        <v>73</v>
      </c>
      <c r="D37" s="530">
        <v>3174795.2700000005</v>
      </c>
      <c r="E37" s="531">
        <v>3513963.4299999997</v>
      </c>
      <c r="F37" s="531">
        <v>3633146</v>
      </c>
      <c r="G37" s="531">
        <v>3598351</v>
      </c>
      <c r="H37" s="531">
        <v>3702733</v>
      </c>
      <c r="I37" s="531">
        <v>3764058</v>
      </c>
      <c r="J37" s="531">
        <v>3742121</v>
      </c>
      <c r="K37" s="531">
        <v>3893649</v>
      </c>
      <c r="L37" s="531">
        <v>7318288</v>
      </c>
      <c r="M37" s="531">
        <v>3818746</v>
      </c>
      <c r="N37" s="531">
        <v>4248797</v>
      </c>
      <c r="O37" s="531">
        <v>5012709.4999999963</v>
      </c>
      <c r="P37" s="531">
        <f t="shared" si="34"/>
        <v>3130428.799999997</v>
      </c>
      <c r="Q37" s="550">
        <v>52551786</v>
      </c>
      <c r="R37" s="530">
        <v>3417698</v>
      </c>
      <c r="S37" s="531">
        <v>3392166</v>
      </c>
      <c r="T37" s="531">
        <v>3150980</v>
      </c>
      <c r="U37" s="531">
        <v>3592809</v>
      </c>
      <c r="V37" s="531">
        <v>3565912</v>
      </c>
      <c r="W37" s="531">
        <v>6005751</v>
      </c>
      <c r="X37" s="531">
        <v>4093092</v>
      </c>
      <c r="Y37" s="531">
        <v>4249512</v>
      </c>
      <c r="Z37" s="531">
        <v>3657992.8999999976</v>
      </c>
      <c r="AA37" s="531">
        <v>4538987</v>
      </c>
      <c r="AB37" s="531">
        <v>3550251</v>
      </c>
      <c r="AC37" s="531">
        <v>4240912</v>
      </c>
      <c r="AD37" s="531">
        <f t="shared" si="28"/>
        <v>2146609.1000000015</v>
      </c>
      <c r="AE37" s="550">
        <v>49602672</v>
      </c>
      <c r="AF37" s="530">
        <v>2913542</v>
      </c>
      <c r="AG37" s="531">
        <v>3488907</v>
      </c>
      <c r="AH37" s="531">
        <v>3511823</v>
      </c>
      <c r="AI37" s="531">
        <v>4213161</v>
      </c>
      <c r="AJ37" s="531">
        <v>3200224</v>
      </c>
      <c r="AK37" s="531">
        <v>3540837</v>
      </c>
      <c r="AL37" s="531">
        <v>3025250.7699999949</v>
      </c>
      <c r="AM37" s="531">
        <v>3617158</v>
      </c>
      <c r="AN37" s="531">
        <v>7638315</v>
      </c>
      <c r="AO37" s="531">
        <v>4181328.5700000012</v>
      </c>
      <c r="AP37" s="531">
        <v>3223285</v>
      </c>
      <c r="AQ37" s="531">
        <v>3822465.6899999976</v>
      </c>
      <c r="AR37" s="531">
        <f t="shared" si="29"/>
        <v>3905537.9700000063</v>
      </c>
      <c r="AS37" s="550">
        <v>50281835</v>
      </c>
      <c r="AT37" s="530">
        <v>2584026</v>
      </c>
      <c r="AU37" s="531">
        <v>3479665</v>
      </c>
      <c r="AV37" s="531">
        <v>3293110</v>
      </c>
      <c r="AW37" s="531">
        <v>3210545</v>
      </c>
      <c r="AX37" s="531">
        <f t="shared" si="30"/>
        <v>4116704.125</v>
      </c>
      <c r="AY37" s="531">
        <f t="shared" si="31"/>
        <v>4116704.125</v>
      </c>
      <c r="AZ37" s="531">
        <f t="shared" si="31"/>
        <v>4116704.125</v>
      </c>
      <c r="BA37" s="531">
        <f t="shared" si="31"/>
        <v>4116704.125</v>
      </c>
      <c r="BB37" s="531">
        <f t="shared" si="31"/>
        <v>4116704.125</v>
      </c>
      <c r="BC37" s="531">
        <f t="shared" si="31"/>
        <v>4116704.125</v>
      </c>
      <c r="BD37" s="531">
        <f t="shared" si="31"/>
        <v>4116704.125</v>
      </c>
      <c r="BE37" s="531">
        <f t="shared" si="31"/>
        <v>4116704.125</v>
      </c>
      <c r="BF37" s="550">
        <v>45500979</v>
      </c>
      <c r="BG37" s="530">
        <f t="shared" si="32"/>
        <v>4495045.583333333</v>
      </c>
      <c r="BH37" s="531">
        <f t="shared" si="33"/>
        <v>4495045.583333333</v>
      </c>
      <c r="BI37" s="531">
        <f t="shared" si="33"/>
        <v>4495045.583333333</v>
      </c>
      <c r="BJ37" s="531">
        <f t="shared" si="33"/>
        <v>4495045.583333333</v>
      </c>
      <c r="BK37" s="531">
        <f t="shared" si="33"/>
        <v>4495045.583333333</v>
      </c>
      <c r="BL37" s="531">
        <f t="shared" si="33"/>
        <v>4495045.583333333</v>
      </c>
      <c r="BM37" s="531">
        <f t="shared" si="33"/>
        <v>4495045.583333333</v>
      </c>
      <c r="BN37" s="531">
        <f t="shared" si="33"/>
        <v>4495045.583333333</v>
      </c>
      <c r="BO37" s="531">
        <f t="shared" si="33"/>
        <v>4495045.583333333</v>
      </c>
      <c r="BP37" s="531">
        <f t="shared" si="33"/>
        <v>4495045.583333333</v>
      </c>
      <c r="BQ37" s="531">
        <f t="shared" si="33"/>
        <v>4495045.583333333</v>
      </c>
      <c r="BR37" s="531">
        <f t="shared" si="33"/>
        <v>4495045.583333333</v>
      </c>
      <c r="BS37" s="550">
        <v>53940547</v>
      </c>
    </row>
    <row r="38" spans="1:71">
      <c r="A38" s="527"/>
      <c r="B38" s="521" t="s">
        <v>132</v>
      </c>
      <c r="C38" s="529" t="s">
        <v>342</v>
      </c>
      <c r="D38" s="530">
        <v>195069.05</v>
      </c>
      <c r="E38" s="531">
        <v>216037.34</v>
      </c>
      <c r="F38" s="531">
        <v>223370</v>
      </c>
      <c r="G38" s="531">
        <v>221208</v>
      </c>
      <c r="H38" s="531">
        <v>227764</v>
      </c>
      <c r="I38" s="531">
        <v>231475</v>
      </c>
      <c r="J38" s="531">
        <v>230161</v>
      </c>
      <c r="K38" s="531">
        <v>239601</v>
      </c>
      <c r="L38" s="531">
        <v>535710</v>
      </c>
      <c r="M38" s="531">
        <v>234948</v>
      </c>
      <c r="N38" s="531">
        <v>523501</v>
      </c>
      <c r="O38" s="531">
        <v>308258.63999999996</v>
      </c>
      <c r="P38" s="531">
        <f t="shared" si="34"/>
        <v>-153047.03000000026</v>
      </c>
      <c r="Q38" s="550">
        <v>3234056</v>
      </c>
      <c r="R38" s="530">
        <v>303192</v>
      </c>
      <c r="S38" s="531">
        <v>301096</v>
      </c>
      <c r="T38" s="531">
        <v>279650</v>
      </c>
      <c r="U38" s="531">
        <v>318801</v>
      </c>
      <c r="V38" s="531">
        <v>316561</v>
      </c>
      <c r="W38" s="531">
        <v>533152</v>
      </c>
      <c r="X38" s="531">
        <v>363157</v>
      </c>
      <c r="Y38" s="531">
        <v>377221</v>
      </c>
      <c r="Z38" s="531">
        <v>364627.43999999959</v>
      </c>
      <c r="AA38" s="531">
        <v>402542</v>
      </c>
      <c r="AB38" s="531">
        <v>532041</v>
      </c>
      <c r="AC38" s="531">
        <v>376611</v>
      </c>
      <c r="AD38" s="531">
        <f t="shared" si="28"/>
        <v>-241347.43999999948</v>
      </c>
      <c r="AE38" s="550">
        <v>4227304</v>
      </c>
      <c r="AF38" s="530">
        <v>323735</v>
      </c>
      <c r="AG38" s="531">
        <v>388497</v>
      </c>
      <c r="AH38" s="531">
        <v>391009</v>
      </c>
      <c r="AI38" s="531">
        <v>470286</v>
      </c>
      <c r="AJ38" s="531">
        <v>319639</v>
      </c>
      <c r="AK38" s="531">
        <v>394139</v>
      </c>
      <c r="AL38" s="531">
        <v>90176.07000000024</v>
      </c>
      <c r="AM38" s="531">
        <v>403115</v>
      </c>
      <c r="AN38" s="531">
        <v>850442</v>
      </c>
      <c r="AO38" s="531">
        <v>465821.33999999985</v>
      </c>
      <c r="AP38" s="531">
        <v>285910</v>
      </c>
      <c r="AQ38" s="531">
        <v>426301.20999999967</v>
      </c>
      <c r="AR38" s="531">
        <f t="shared" si="29"/>
        <v>786155.37999999989</v>
      </c>
      <c r="AS38" s="550">
        <v>5595226</v>
      </c>
      <c r="AT38" s="530">
        <v>267362</v>
      </c>
      <c r="AU38" s="531">
        <v>360842</v>
      </c>
      <c r="AV38" s="531">
        <v>341557</v>
      </c>
      <c r="AW38" s="531">
        <v>410328</v>
      </c>
      <c r="AX38" s="531">
        <f t="shared" si="30"/>
        <v>415721.375</v>
      </c>
      <c r="AY38" s="531">
        <f t="shared" si="31"/>
        <v>415721.375</v>
      </c>
      <c r="AZ38" s="531">
        <f t="shared" si="31"/>
        <v>415721.375</v>
      </c>
      <c r="BA38" s="531">
        <f t="shared" si="31"/>
        <v>415721.375</v>
      </c>
      <c r="BB38" s="531">
        <f t="shared" si="31"/>
        <v>415721.375</v>
      </c>
      <c r="BC38" s="531">
        <f t="shared" si="31"/>
        <v>415721.375</v>
      </c>
      <c r="BD38" s="531">
        <f t="shared" si="31"/>
        <v>415721.375</v>
      </c>
      <c r="BE38" s="531">
        <f t="shared" si="31"/>
        <v>415721.375</v>
      </c>
      <c r="BF38" s="550">
        <v>4705860</v>
      </c>
      <c r="BG38" s="530">
        <f t="shared" si="32"/>
        <v>380882.75</v>
      </c>
      <c r="BH38" s="531">
        <f t="shared" si="33"/>
        <v>380882.75</v>
      </c>
      <c r="BI38" s="531">
        <f t="shared" si="33"/>
        <v>380882.75</v>
      </c>
      <c r="BJ38" s="531">
        <f t="shared" si="33"/>
        <v>380882.75</v>
      </c>
      <c r="BK38" s="531">
        <f t="shared" si="33"/>
        <v>380882.75</v>
      </c>
      <c r="BL38" s="531">
        <f t="shared" si="33"/>
        <v>380882.75</v>
      </c>
      <c r="BM38" s="531">
        <f t="shared" si="33"/>
        <v>380882.75</v>
      </c>
      <c r="BN38" s="531">
        <f t="shared" si="33"/>
        <v>380882.75</v>
      </c>
      <c r="BO38" s="531">
        <f t="shared" si="33"/>
        <v>380882.75</v>
      </c>
      <c r="BP38" s="531">
        <f t="shared" si="33"/>
        <v>380882.75</v>
      </c>
      <c r="BQ38" s="531">
        <f t="shared" si="33"/>
        <v>380882.75</v>
      </c>
      <c r="BR38" s="531">
        <f t="shared" si="33"/>
        <v>380882.75</v>
      </c>
      <c r="BS38" s="550">
        <v>4570593</v>
      </c>
    </row>
    <row r="39" spans="1:71">
      <c r="A39" s="527"/>
      <c r="B39" s="521" t="s">
        <v>365</v>
      </c>
      <c r="C39" s="529" t="s">
        <v>364</v>
      </c>
      <c r="D39" s="530">
        <v>0</v>
      </c>
      <c r="E39" s="531">
        <v>0</v>
      </c>
      <c r="F39" s="531">
        <f>($Q39-SUM($D39:E39))/10</f>
        <v>0</v>
      </c>
      <c r="G39" s="531">
        <f>($Q39-SUM($D39:F39))/9</f>
        <v>0</v>
      </c>
      <c r="H39" s="531">
        <f>($Q39-SUM($D39:G39))/8</f>
        <v>0</v>
      </c>
      <c r="I39" s="531">
        <f>($Q39-SUM($D39:H39))/7</f>
        <v>0</v>
      </c>
      <c r="J39" s="531">
        <f>($Q39-SUM($D39:I39))/6</f>
        <v>0</v>
      </c>
      <c r="K39" s="531">
        <f>($Q39-SUM($D39:J39))/5</f>
        <v>0</v>
      </c>
      <c r="L39" s="531">
        <f>($Q39-SUM($D39:K39))/4</f>
        <v>0</v>
      </c>
      <c r="M39" s="531">
        <f>(Q39-(D39+E39+F39+G39+H39+I39+J39+K39+L39))/3</f>
        <v>0</v>
      </c>
      <c r="N39" s="531">
        <v>0</v>
      </c>
      <c r="O39" s="531">
        <v>0</v>
      </c>
      <c r="P39" s="531">
        <f t="shared" si="34"/>
        <v>0</v>
      </c>
      <c r="Q39" s="550">
        <v>0</v>
      </c>
      <c r="R39" s="530">
        <v>0</v>
      </c>
      <c r="S39" s="531">
        <f t="shared" ref="S39:S42" si="57">(AE39-R39)/11</f>
        <v>0</v>
      </c>
      <c r="T39" s="531">
        <f t="shared" ref="T39:T42" si="58">(AE39-R39-S39)/10</f>
        <v>0</v>
      </c>
      <c r="U39" s="531">
        <f t="shared" si="39"/>
        <v>0</v>
      </c>
      <c r="V39" s="531">
        <f t="shared" si="40"/>
        <v>0</v>
      </c>
      <c r="W39" s="531">
        <f t="shared" si="41"/>
        <v>0</v>
      </c>
      <c r="X39" s="531">
        <f t="shared" si="42"/>
        <v>0</v>
      </c>
      <c r="Y39" s="531">
        <v>0</v>
      </c>
      <c r="Z39" s="531">
        <f t="shared" si="43"/>
        <v>0</v>
      </c>
      <c r="AA39" s="531">
        <f t="shared" ref="AA39:AA42" si="59">(AE39-R39-S39-T39-U39-V39-W39-X39-Y39-Z39)/3</f>
        <v>0</v>
      </c>
      <c r="AB39" s="531">
        <f t="shared" si="44"/>
        <v>0</v>
      </c>
      <c r="AC39" s="531">
        <v>0</v>
      </c>
      <c r="AD39" s="531">
        <f t="shared" si="28"/>
        <v>0</v>
      </c>
      <c r="AE39" s="550">
        <v>0</v>
      </c>
      <c r="AF39" s="530">
        <v>0</v>
      </c>
      <c r="AG39" s="531">
        <v>0</v>
      </c>
      <c r="AH39" s="531">
        <f t="shared" si="47"/>
        <v>0</v>
      </c>
      <c r="AI39" s="531">
        <f t="shared" si="48"/>
        <v>0</v>
      </c>
      <c r="AJ39" s="531">
        <f t="shared" si="19"/>
        <v>0</v>
      </c>
      <c r="AK39" s="531">
        <v>0</v>
      </c>
      <c r="AL39" s="531">
        <f t="shared" si="50"/>
        <v>0</v>
      </c>
      <c r="AM39" s="531">
        <f t="shared" si="51"/>
        <v>0</v>
      </c>
      <c r="AN39" s="531">
        <f t="shared" si="52"/>
        <v>0</v>
      </c>
      <c r="AO39" s="531">
        <v>0</v>
      </c>
      <c r="AP39" s="531">
        <f t="shared" ref="AP39" si="60">(AS39-AF39-AG39-AH39-AI39-AJ39-AK39-AL39-AM39-AN39-AO39)/2</f>
        <v>0</v>
      </c>
      <c r="AQ39" s="531">
        <f t="shared" si="54"/>
        <v>0</v>
      </c>
      <c r="AR39" s="531">
        <f t="shared" si="29"/>
        <v>0</v>
      </c>
      <c r="AS39" s="550">
        <v>0</v>
      </c>
      <c r="AT39" s="530">
        <v>0</v>
      </c>
      <c r="AU39" s="531">
        <f t="shared" ref="AU39" si="61">(BF39-AT39)/11</f>
        <v>0</v>
      </c>
      <c r="AV39" s="531">
        <f t="shared" si="55"/>
        <v>0</v>
      </c>
      <c r="AW39" s="531">
        <f t="shared" si="56"/>
        <v>0</v>
      </c>
      <c r="AX39" s="531">
        <f t="shared" si="30"/>
        <v>0</v>
      </c>
      <c r="AY39" s="531">
        <f t="shared" si="31"/>
        <v>0</v>
      </c>
      <c r="AZ39" s="531">
        <f t="shared" si="31"/>
        <v>0</v>
      </c>
      <c r="BA39" s="531">
        <f t="shared" si="31"/>
        <v>0</v>
      </c>
      <c r="BB39" s="531">
        <f t="shared" si="31"/>
        <v>0</v>
      </c>
      <c r="BC39" s="531">
        <f t="shared" si="31"/>
        <v>0</v>
      </c>
      <c r="BD39" s="531">
        <f t="shared" si="31"/>
        <v>0</v>
      </c>
      <c r="BE39" s="531">
        <f t="shared" si="31"/>
        <v>0</v>
      </c>
      <c r="BF39" s="550">
        <v>0</v>
      </c>
      <c r="BG39" s="530">
        <f t="shared" si="32"/>
        <v>0</v>
      </c>
      <c r="BH39" s="531">
        <f t="shared" si="33"/>
        <v>0</v>
      </c>
      <c r="BI39" s="531">
        <f t="shared" si="33"/>
        <v>0</v>
      </c>
      <c r="BJ39" s="531">
        <f t="shared" si="33"/>
        <v>0</v>
      </c>
      <c r="BK39" s="531">
        <f t="shared" si="33"/>
        <v>0</v>
      </c>
      <c r="BL39" s="531">
        <f t="shared" si="33"/>
        <v>0</v>
      </c>
      <c r="BM39" s="531">
        <f t="shared" si="33"/>
        <v>0</v>
      </c>
      <c r="BN39" s="531">
        <f t="shared" si="33"/>
        <v>0</v>
      </c>
      <c r="BO39" s="531">
        <f t="shared" si="33"/>
        <v>0</v>
      </c>
      <c r="BP39" s="531">
        <f t="shared" si="33"/>
        <v>0</v>
      </c>
      <c r="BQ39" s="531">
        <f t="shared" si="33"/>
        <v>0</v>
      </c>
      <c r="BR39" s="531">
        <f t="shared" si="33"/>
        <v>0</v>
      </c>
      <c r="BS39" s="550">
        <v>0</v>
      </c>
    </row>
    <row r="40" spans="1:71">
      <c r="A40" s="527"/>
      <c r="B40" s="521" t="s">
        <v>78</v>
      </c>
      <c r="C40" s="529" t="s">
        <v>343</v>
      </c>
      <c r="D40" s="530">
        <v>470075.18999999994</v>
      </c>
      <c r="E40" s="531">
        <v>520306.4800000001</v>
      </c>
      <c r="F40" s="531">
        <v>537959</v>
      </c>
      <c r="G40" s="531">
        <v>532803</v>
      </c>
      <c r="H40" s="531">
        <v>548273</v>
      </c>
      <c r="I40" s="531">
        <v>557348</v>
      </c>
      <c r="J40" s="531">
        <v>554103</v>
      </c>
      <c r="K40" s="531">
        <v>576555</v>
      </c>
      <c r="L40" s="531">
        <v>1080945</v>
      </c>
      <c r="M40" s="531">
        <v>565458</v>
      </c>
      <c r="N40" s="531">
        <v>1218714</v>
      </c>
      <c r="O40" s="531">
        <v>742259</v>
      </c>
      <c r="P40" s="531">
        <f t="shared" si="34"/>
        <v>-123208.66999999993</v>
      </c>
      <c r="Q40" s="550">
        <v>7781590</v>
      </c>
      <c r="R40" s="530">
        <v>724855</v>
      </c>
      <c r="S40" s="531">
        <v>719475</v>
      </c>
      <c r="T40" s="531">
        <v>668309</v>
      </c>
      <c r="U40" s="531">
        <v>762014</v>
      </c>
      <c r="V40" s="531">
        <v>756336</v>
      </c>
      <c r="W40" s="531">
        <v>1273824</v>
      </c>
      <c r="X40" s="531">
        <v>868116</v>
      </c>
      <c r="Y40" s="531">
        <v>901311</v>
      </c>
      <c r="Z40" s="531">
        <v>577464.5699999996</v>
      </c>
      <c r="AA40" s="531">
        <v>962643</v>
      </c>
      <c r="AB40" s="531">
        <v>424928</v>
      </c>
      <c r="AC40" s="531">
        <v>899514</v>
      </c>
      <c r="AD40" s="531">
        <f t="shared" si="28"/>
        <v>744948.4299999997</v>
      </c>
      <c r="AE40" s="550">
        <v>10283738</v>
      </c>
      <c r="AF40" s="530">
        <v>525008</v>
      </c>
      <c r="AG40" s="531">
        <v>628774</v>
      </c>
      <c r="AH40" s="531">
        <v>632899</v>
      </c>
      <c r="AI40" s="531">
        <v>759455</v>
      </c>
      <c r="AJ40" s="531">
        <v>590976</v>
      </c>
      <c r="AK40" s="531">
        <v>638113</v>
      </c>
      <c r="AL40" s="531">
        <v>534166.37999999919</v>
      </c>
      <c r="AM40" s="531">
        <v>651928</v>
      </c>
      <c r="AN40" s="531">
        <v>1376529</v>
      </c>
      <c r="AO40" s="531">
        <v>753580.63</v>
      </c>
      <c r="AP40" s="531">
        <v>362094</v>
      </c>
      <c r="AQ40" s="531">
        <v>688972.92999999993</v>
      </c>
      <c r="AR40" s="531">
        <f t="shared" si="29"/>
        <v>922822.06000000145</v>
      </c>
      <c r="AS40" s="550">
        <v>9065318</v>
      </c>
      <c r="AT40" s="530">
        <v>404020</v>
      </c>
      <c r="AU40" s="531">
        <v>544143</v>
      </c>
      <c r="AV40" s="531">
        <v>514980</v>
      </c>
      <c r="AW40" s="531">
        <v>573338</v>
      </c>
      <c r="AX40" s="531">
        <f t="shared" si="30"/>
        <v>633430.75</v>
      </c>
      <c r="AY40" s="531">
        <f t="shared" si="31"/>
        <v>633430.75</v>
      </c>
      <c r="AZ40" s="531">
        <f t="shared" si="31"/>
        <v>633430.75</v>
      </c>
      <c r="BA40" s="531">
        <f t="shared" si="31"/>
        <v>633430.75</v>
      </c>
      <c r="BB40" s="531">
        <f t="shared" si="31"/>
        <v>633430.75</v>
      </c>
      <c r="BC40" s="531">
        <f t="shared" si="31"/>
        <v>633430.75</v>
      </c>
      <c r="BD40" s="531">
        <f t="shared" si="31"/>
        <v>633430.75</v>
      </c>
      <c r="BE40" s="531">
        <f t="shared" si="31"/>
        <v>633430.75</v>
      </c>
      <c r="BF40" s="550">
        <v>7103927</v>
      </c>
      <c r="BG40" s="530">
        <f t="shared" si="32"/>
        <v>601869.83333333337</v>
      </c>
      <c r="BH40" s="531">
        <f t="shared" si="33"/>
        <v>601869.83333333337</v>
      </c>
      <c r="BI40" s="531">
        <f t="shared" si="33"/>
        <v>601869.83333333337</v>
      </c>
      <c r="BJ40" s="531">
        <f t="shared" si="33"/>
        <v>601869.83333333337</v>
      </c>
      <c r="BK40" s="531">
        <f t="shared" si="33"/>
        <v>601869.83333333337</v>
      </c>
      <c r="BL40" s="531">
        <f t="shared" si="33"/>
        <v>601869.83333333337</v>
      </c>
      <c r="BM40" s="531">
        <f t="shared" si="33"/>
        <v>601869.83333333337</v>
      </c>
      <c r="BN40" s="531">
        <f t="shared" si="33"/>
        <v>601869.83333333337</v>
      </c>
      <c r="BO40" s="531">
        <f t="shared" si="33"/>
        <v>601869.83333333337</v>
      </c>
      <c r="BP40" s="531">
        <f t="shared" si="33"/>
        <v>601869.83333333337</v>
      </c>
      <c r="BQ40" s="531">
        <f t="shared" si="33"/>
        <v>601869.83333333337</v>
      </c>
      <c r="BR40" s="531">
        <f t="shared" si="33"/>
        <v>601869.83333333337</v>
      </c>
      <c r="BS40" s="550">
        <v>7222438</v>
      </c>
    </row>
    <row r="41" spans="1:71">
      <c r="A41" s="527"/>
      <c r="B41" s="558" t="s">
        <v>448</v>
      </c>
      <c r="C41" s="529" t="s">
        <v>81</v>
      </c>
      <c r="D41" s="530">
        <v>0</v>
      </c>
      <c r="E41" s="531">
        <v>339.31</v>
      </c>
      <c r="F41" s="531">
        <v>343</v>
      </c>
      <c r="G41" s="531">
        <v>347</v>
      </c>
      <c r="H41" s="531">
        <v>341</v>
      </c>
      <c r="I41" s="531">
        <v>348</v>
      </c>
      <c r="J41" s="531">
        <v>339</v>
      </c>
      <c r="K41" s="531">
        <v>336</v>
      </c>
      <c r="L41" s="531">
        <v>0</v>
      </c>
      <c r="M41" s="531">
        <v>0</v>
      </c>
      <c r="N41" s="531">
        <v>-1038</v>
      </c>
      <c r="O41" s="531">
        <v>0</v>
      </c>
      <c r="P41" s="531">
        <f t="shared" si="34"/>
        <v>-1355.31</v>
      </c>
      <c r="Q41" s="550">
        <v>0</v>
      </c>
      <c r="R41" s="530">
        <v>0</v>
      </c>
      <c r="S41" s="531">
        <v>257074</v>
      </c>
      <c r="T41" s="531">
        <v>302594</v>
      </c>
      <c r="U41" s="531">
        <v>351475</v>
      </c>
      <c r="V41" s="531">
        <v>373376</v>
      </c>
      <c r="W41" s="531">
        <v>373181</v>
      </c>
      <c r="X41" s="531">
        <v>382118</v>
      </c>
      <c r="Y41" s="531">
        <v>388908</v>
      </c>
      <c r="Z41" s="531">
        <v>396298.66</v>
      </c>
      <c r="AA41" s="531">
        <v>371860</v>
      </c>
      <c r="AB41" s="531">
        <v>375677</v>
      </c>
      <c r="AC41" s="531">
        <v>406316</v>
      </c>
      <c r="AD41" s="531">
        <f t="shared" si="28"/>
        <v>-3040887.66</v>
      </c>
      <c r="AE41" s="550">
        <v>937990</v>
      </c>
      <c r="AF41" s="530">
        <v>0</v>
      </c>
      <c r="AG41" s="531">
        <v>390847</v>
      </c>
      <c r="AH41" s="531">
        <v>392361</v>
      </c>
      <c r="AI41" s="531">
        <v>440052</v>
      </c>
      <c r="AJ41" s="531">
        <v>389623</v>
      </c>
      <c r="AK41" s="531">
        <v>370085</v>
      </c>
      <c r="AL41" s="531">
        <v>375831.54000000004</v>
      </c>
      <c r="AM41" s="531">
        <v>439615</v>
      </c>
      <c r="AN41" s="531">
        <v>514569</v>
      </c>
      <c r="AO41" s="531">
        <v>505045.92000000004</v>
      </c>
      <c r="AP41" s="531">
        <v>509996</v>
      </c>
      <c r="AQ41" s="531">
        <v>34069.33</v>
      </c>
      <c r="AR41" s="531">
        <f t="shared" si="29"/>
        <v>-3424104.79</v>
      </c>
      <c r="AS41" s="550">
        <v>937990</v>
      </c>
      <c r="AT41" s="530">
        <v>0</v>
      </c>
      <c r="AU41" s="531">
        <v>482179</v>
      </c>
      <c r="AV41" s="531">
        <v>556947</v>
      </c>
      <c r="AW41" s="531">
        <v>623104</v>
      </c>
      <c r="AX41" s="531">
        <f t="shared" si="30"/>
        <v>-90530</v>
      </c>
      <c r="AY41" s="531">
        <f t="shared" si="31"/>
        <v>-90530</v>
      </c>
      <c r="AZ41" s="531">
        <f t="shared" si="31"/>
        <v>-90530</v>
      </c>
      <c r="BA41" s="531">
        <f t="shared" si="31"/>
        <v>-90530</v>
      </c>
      <c r="BB41" s="531">
        <f t="shared" si="31"/>
        <v>-90530</v>
      </c>
      <c r="BC41" s="531">
        <f t="shared" si="31"/>
        <v>-90530</v>
      </c>
      <c r="BD41" s="531">
        <f t="shared" si="31"/>
        <v>-90530</v>
      </c>
      <c r="BE41" s="531">
        <f t="shared" si="31"/>
        <v>-90530</v>
      </c>
      <c r="BF41" s="550">
        <v>937990</v>
      </c>
      <c r="BG41" s="530">
        <f t="shared" si="32"/>
        <v>78165.833333333328</v>
      </c>
      <c r="BH41" s="531">
        <f t="shared" si="33"/>
        <v>78165.833333333328</v>
      </c>
      <c r="BI41" s="531">
        <f t="shared" si="33"/>
        <v>78165.833333333328</v>
      </c>
      <c r="BJ41" s="531">
        <f t="shared" si="33"/>
        <v>78165.833333333328</v>
      </c>
      <c r="BK41" s="531">
        <f t="shared" si="33"/>
        <v>78165.833333333328</v>
      </c>
      <c r="BL41" s="531">
        <f t="shared" si="33"/>
        <v>78165.833333333328</v>
      </c>
      <c r="BM41" s="531">
        <f t="shared" si="33"/>
        <v>78165.833333333328</v>
      </c>
      <c r="BN41" s="531">
        <f t="shared" si="33"/>
        <v>78165.833333333328</v>
      </c>
      <c r="BO41" s="531">
        <f t="shared" si="33"/>
        <v>78165.833333333328</v>
      </c>
      <c r="BP41" s="531">
        <f t="shared" si="33"/>
        <v>78165.833333333328</v>
      </c>
      <c r="BQ41" s="531">
        <f t="shared" si="33"/>
        <v>78165.833333333328</v>
      </c>
      <c r="BR41" s="531">
        <f t="shared" si="33"/>
        <v>78165.833333333328</v>
      </c>
      <c r="BS41" s="550">
        <v>937990</v>
      </c>
    </row>
    <row r="42" spans="1:71">
      <c r="A42" s="527"/>
      <c r="B42" s="521" t="s">
        <v>84</v>
      </c>
      <c r="C42" s="529" t="s">
        <v>83</v>
      </c>
      <c r="D42" s="530">
        <v>2221.88</v>
      </c>
      <c r="E42" s="531">
        <v>2388.63</v>
      </c>
      <c r="F42" s="531">
        <v>2405</v>
      </c>
      <c r="G42" s="531">
        <v>2429</v>
      </c>
      <c r="H42" s="531">
        <v>2387</v>
      </c>
      <c r="I42" s="531">
        <v>2434</v>
      </c>
      <c r="J42" s="531">
        <v>2370</v>
      </c>
      <c r="K42" s="531">
        <v>2354</v>
      </c>
      <c r="L42" s="531">
        <v>180</v>
      </c>
      <c r="M42" s="531">
        <v>2355</v>
      </c>
      <c r="N42" s="531">
        <v>2382</v>
      </c>
      <c r="O42" s="531">
        <v>2449</v>
      </c>
      <c r="P42" s="531">
        <f t="shared" si="34"/>
        <v>26.489999999997963</v>
      </c>
      <c r="Q42" s="550">
        <v>26382</v>
      </c>
      <c r="R42" s="530">
        <v>0</v>
      </c>
      <c r="S42" s="531">
        <f t="shared" si="57"/>
        <v>0</v>
      </c>
      <c r="T42" s="531">
        <f t="shared" si="58"/>
        <v>0</v>
      </c>
      <c r="U42" s="531">
        <f t="shared" si="39"/>
        <v>0</v>
      </c>
      <c r="V42" s="531">
        <f t="shared" si="40"/>
        <v>0</v>
      </c>
      <c r="W42" s="531">
        <f t="shared" si="41"/>
        <v>0</v>
      </c>
      <c r="X42" s="531">
        <v>0</v>
      </c>
      <c r="Y42" s="531">
        <f t="shared" ref="Y42" si="62">(AE42-R42-S42-T42-U42-V42-W42-X42)/5</f>
        <v>0</v>
      </c>
      <c r="Z42" s="531">
        <f t="shared" si="43"/>
        <v>0</v>
      </c>
      <c r="AA42" s="531">
        <f t="shared" si="59"/>
        <v>0</v>
      </c>
      <c r="AB42" s="531">
        <v>7370</v>
      </c>
      <c r="AC42" s="531">
        <f t="shared" si="45"/>
        <v>-7370</v>
      </c>
      <c r="AD42" s="531">
        <f t="shared" si="28"/>
        <v>0</v>
      </c>
      <c r="AE42" s="550">
        <v>0</v>
      </c>
      <c r="AF42" s="530">
        <v>0</v>
      </c>
      <c r="AG42" s="531">
        <v>0</v>
      </c>
      <c r="AH42" s="531">
        <v>0</v>
      </c>
      <c r="AI42" s="531">
        <v>0</v>
      </c>
      <c r="AJ42" s="531">
        <v>0</v>
      </c>
      <c r="AK42" s="531">
        <v>0</v>
      </c>
      <c r="AL42" s="531">
        <v>0</v>
      </c>
      <c r="AM42" s="531">
        <v>0</v>
      </c>
      <c r="AN42" s="531">
        <v>7365</v>
      </c>
      <c r="AO42" s="531">
        <v>0</v>
      </c>
      <c r="AP42" s="531">
        <v>0</v>
      </c>
      <c r="AQ42" s="531">
        <v>0</v>
      </c>
      <c r="AR42" s="531">
        <f t="shared" si="29"/>
        <v>25117</v>
      </c>
      <c r="AS42" s="550">
        <v>32482</v>
      </c>
      <c r="AT42" s="530">
        <v>0</v>
      </c>
      <c r="AU42" s="531">
        <v>0</v>
      </c>
      <c r="AV42" s="531">
        <f t="shared" si="55"/>
        <v>0</v>
      </c>
      <c r="AW42" s="531">
        <f t="shared" si="56"/>
        <v>0</v>
      </c>
      <c r="AX42" s="531">
        <f t="shared" si="30"/>
        <v>0</v>
      </c>
      <c r="AY42" s="531">
        <f t="shared" ref="AY42:BE49" si="63">AX42</f>
        <v>0</v>
      </c>
      <c r="AZ42" s="531">
        <f t="shared" si="63"/>
        <v>0</v>
      </c>
      <c r="BA42" s="531">
        <f t="shared" si="63"/>
        <v>0</v>
      </c>
      <c r="BB42" s="531">
        <f t="shared" si="63"/>
        <v>0</v>
      </c>
      <c r="BC42" s="531">
        <f t="shared" si="63"/>
        <v>0</v>
      </c>
      <c r="BD42" s="531">
        <f t="shared" si="63"/>
        <v>0</v>
      </c>
      <c r="BE42" s="531">
        <f t="shared" si="63"/>
        <v>0</v>
      </c>
      <c r="BF42" s="550">
        <v>0</v>
      </c>
      <c r="BG42" s="530">
        <f t="shared" si="32"/>
        <v>0</v>
      </c>
      <c r="BH42" s="531">
        <f t="shared" ref="BH42:BR49" si="64">BG42</f>
        <v>0</v>
      </c>
      <c r="BI42" s="531">
        <f t="shared" si="64"/>
        <v>0</v>
      </c>
      <c r="BJ42" s="531">
        <f t="shared" si="64"/>
        <v>0</v>
      </c>
      <c r="BK42" s="531">
        <f t="shared" si="64"/>
        <v>0</v>
      </c>
      <c r="BL42" s="531">
        <f t="shared" si="64"/>
        <v>0</v>
      </c>
      <c r="BM42" s="531">
        <f t="shared" si="64"/>
        <v>0</v>
      </c>
      <c r="BN42" s="531">
        <f t="shared" si="64"/>
        <v>0</v>
      </c>
      <c r="BO42" s="531">
        <f t="shared" si="64"/>
        <v>0</v>
      </c>
      <c r="BP42" s="531">
        <f t="shared" si="64"/>
        <v>0</v>
      </c>
      <c r="BQ42" s="531">
        <f t="shared" si="64"/>
        <v>0</v>
      </c>
      <c r="BR42" s="531">
        <f t="shared" si="64"/>
        <v>0</v>
      </c>
      <c r="BS42" s="550">
        <v>0</v>
      </c>
    </row>
    <row r="43" spans="1:71">
      <c r="A43" s="527"/>
      <c r="B43" s="521" t="s">
        <v>492</v>
      </c>
      <c r="C43" s="529" t="s">
        <v>493</v>
      </c>
      <c r="D43" s="530">
        <v>0</v>
      </c>
      <c r="E43" s="531">
        <v>0</v>
      </c>
      <c r="F43" s="531">
        <f>($Q43-SUM($D43:E43))/10</f>
        <v>0</v>
      </c>
      <c r="G43" s="531">
        <f>($Q43-SUM($D43:F43))/9</f>
        <v>0</v>
      </c>
      <c r="H43" s="531">
        <f>($Q43-SUM($D43:G43))/8</f>
        <v>0</v>
      </c>
      <c r="I43" s="531">
        <f>($Q43-SUM($D43:H43))/7</f>
        <v>0</v>
      </c>
      <c r="J43" s="531">
        <f>($Q43-SUM($D43:I43))/6</f>
        <v>0</v>
      </c>
      <c r="K43" s="531">
        <f>($Q43-SUM($D43:J43))/5</f>
        <v>0</v>
      </c>
      <c r="L43" s="531">
        <f>($Q43-SUM($D43:K43))/4</f>
        <v>0</v>
      </c>
      <c r="M43" s="531">
        <f>(Q43-(D43+E43+F43+G43+H43+I43+J43+K43+L43))/3</f>
        <v>0</v>
      </c>
      <c r="N43" s="531">
        <f>(Q43-(D43+E43+F43+G43+H43+I43+J43+K43+L43+M43))/2</f>
        <v>0</v>
      </c>
      <c r="O43" s="531">
        <f t="shared" ref="O43" si="65">Q43-D43-E43-F43-G43-H43-I43-J43-K43-L43-M43-N43</f>
        <v>0</v>
      </c>
      <c r="P43" s="531">
        <f t="shared" si="34"/>
        <v>0</v>
      </c>
      <c r="Q43" s="550">
        <v>0</v>
      </c>
      <c r="R43" s="530">
        <v>0</v>
      </c>
      <c r="S43" s="531">
        <v>0</v>
      </c>
      <c r="T43" s="531">
        <v>0</v>
      </c>
      <c r="U43" s="531">
        <v>0</v>
      </c>
      <c r="V43" s="531">
        <v>0</v>
      </c>
      <c r="W43" s="531">
        <v>0</v>
      </c>
      <c r="X43" s="531">
        <v>0</v>
      </c>
      <c r="Y43" s="531">
        <v>0</v>
      </c>
      <c r="Z43" s="531">
        <v>0</v>
      </c>
      <c r="AA43" s="531">
        <v>0</v>
      </c>
      <c r="AB43" s="531">
        <v>0</v>
      </c>
      <c r="AC43" s="531">
        <v>0</v>
      </c>
      <c r="AD43" s="531">
        <f t="shared" si="28"/>
        <v>128925137</v>
      </c>
      <c r="AE43" s="550">
        <v>128925137</v>
      </c>
      <c r="AF43" s="530">
        <v>0</v>
      </c>
      <c r="AG43" s="531">
        <v>0</v>
      </c>
      <c r="AH43" s="531">
        <v>0</v>
      </c>
      <c r="AI43" s="531">
        <v>0</v>
      </c>
      <c r="AJ43" s="531">
        <v>0</v>
      </c>
      <c r="AK43" s="531">
        <v>0</v>
      </c>
      <c r="AL43" s="531">
        <v>0</v>
      </c>
      <c r="AM43" s="531">
        <v>0</v>
      </c>
      <c r="AN43" s="531">
        <v>0</v>
      </c>
      <c r="AO43" s="531">
        <v>0</v>
      </c>
      <c r="AP43" s="531">
        <v>0</v>
      </c>
      <c r="AQ43" s="531">
        <v>168488826.16999996</v>
      </c>
      <c r="AR43" s="531">
        <f t="shared" si="29"/>
        <v>-0.16999995708465576</v>
      </c>
      <c r="AS43" s="550">
        <v>168488826</v>
      </c>
      <c r="AT43" s="530">
        <v>0</v>
      </c>
      <c r="AU43" s="531">
        <v>0</v>
      </c>
      <c r="AV43" s="531">
        <f t="shared" si="55"/>
        <v>0</v>
      </c>
      <c r="AW43" s="531">
        <f t="shared" si="56"/>
        <v>0</v>
      </c>
      <c r="AX43" s="531">
        <f t="shared" si="30"/>
        <v>0</v>
      </c>
      <c r="AY43" s="531">
        <f t="shared" si="63"/>
        <v>0</v>
      </c>
      <c r="AZ43" s="531">
        <f t="shared" si="63"/>
        <v>0</v>
      </c>
      <c r="BA43" s="531">
        <f t="shared" si="63"/>
        <v>0</v>
      </c>
      <c r="BB43" s="531">
        <f t="shared" si="63"/>
        <v>0</v>
      </c>
      <c r="BC43" s="531">
        <f t="shared" si="63"/>
        <v>0</v>
      </c>
      <c r="BD43" s="531">
        <f t="shared" si="63"/>
        <v>0</v>
      </c>
      <c r="BE43" s="531">
        <f t="shared" si="63"/>
        <v>0</v>
      </c>
      <c r="BF43" s="550">
        <v>0</v>
      </c>
      <c r="BG43" s="530">
        <f t="shared" si="32"/>
        <v>0</v>
      </c>
      <c r="BH43" s="531">
        <f t="shared" si="64"/>
        <v>0</v>
      </c>
      <c r="BI43" s="531">
        <f t="shared" si="64"/>
        <v>0</v>
      </c>
      <c r="BJ43" s="531">
        <f t="shared" si="64"/>
        <v>0</v>
      </c>
      <c r="BK43" s="531">
        <f t="shared" si="64"/>
        <v>0</v>
      </c>
      <c r="BL43" s="531">
        <f t="shared" si="64"/>
        <v>0</v>
      </c>
      <c r="BM43" s="531">
        <f t="shared" si="64"/>
        <v>0</v>
      </c>
      <c r="BN43" s="531">
        <f t="shared" si="64"/>
        <v>0</v>
      </c>
      <c r="BO43" s="531">
        <f t="shared" si="64"/>
        <v>0</v>
      </c>
      <c r="BP43" s="531">
        <f t="shared" si="64"/>
        <v>0</v>
      </c>
      <c r="BQ43" s="531">
        <f t="shared" si="64"/>
        <v>0</v>
      </c>
      <c r="BR43" s="531">
        <f t="shared" si="64"/>
        <v>0</v>
      </c>
      <c r="BS43" s="550">
        <v>0</v>
      </c>
    </row>
    <row r="44" spans="1:71" ht="15" customHeight="1">
      <c r="A44" s="527"/>
      <c r="B44" s="521" t="s">
        <v>125</v>
      </c>
      <c r="C44" s="529" t="s">
        <v>112</v>
      </c>
      <c r="D44" s="530">
        <v>439710.68</v>
      </c>
      <c r="E44" s="531">
        <v>486701</v>
      </c>
      <c r="F44" s="531">
        <v>503213</v>
      </c>
      <c r="G44" s="531">
        <v>498386</v>
      </c>
      <c r="H44" s="531">
        <v>512866</v>
      </c>
      <c r="I44" s="531">
        <v>521351</v>
      </c>
      <c r="J44" s="531">
        <v>518320</v>
      </c>
      <c r="K44" s="531">
        <v>539329</v>
      </c>
      <c r="L44" s="531">
        <v>1104349</v>
      </c>
      <c r="M44" s="531">
        <v>528943</v>
      </c>
      <c r="N44" s="531">
        <v>481798</v>
      </c>
      <c r="O44" s="531">
        <v>694320</v>
      </c>
      <c r="P44" s="531">
        <f t="shared" si="34"/>
        <v>450025.3200000003</v>
      </c>
      <c r="Q44" s="550">
        <v>7279312</v>
      </c>
      <c r="R44" s="530">
        <v>429538</v>
      </c>
      <c r="S44" s="531">
        <v>426349</v>
      </c>
      <c r="T44" s="531">
        <v>396033</v>
      </c>
      <c r="U44" s="531">
        <v>451553</v>
      </c>
      <c r="V44" s="531">
        <v>448189</v>
      </c>
      <c r="W44" s="531">
        <v>754837</v>
      </c>
      <c r="X44" s="531">
        <v>514421</v>
      </c>
      <c r="Y44" s="531">
        <v>534102</v>
      </c>
      <c r="Z44" s="531">
        <v>657600.70000000123</v>
      </c>
      <c r="AA44" s="531">
        <v>570435</v>
      </c>
      <c r="AB44" s="531">
        <v>773490</v>
      </c>
      <c r="AC44" s="531">
        <v>533043</v>
      </c>
      <c r="AD44" s="531">
        <f t="shared" si="28"/>
        <v>-346051.70000000112</v>
      </c>
      <c r="AE44" s="550">
        <v>6143539</v>
      </c>
      <c r="AF44" s="530">
        <v>458801</v>
      </c>
      <c r="AG44" s="531">
        <v>549501</v>
      </c>
      <c r="AH44" s="531">
        <v>553106</v>
      </c>
      <c r="AI44" s="531">
        <v>663736</v>
      </c>
      <c r="AJ44" s="531">
        <v>703293</v>
      </c>
      <c r="AK44" s="531">
        <v>557662</v>
      </c>
      <c r="AL44" s="531">
        <v>875830.12999999954</v>
      </c>
      <c r="AM44" s="531">
        <v>569741</v>
      </c>
      <c r="AN44" s="531">
        <v>1203026</v>
      </c>
      <c r="AO44" s="513">
        <v>658580.38999999955</v>
      </c>
      <c r="AP44" s="531">
        <v>1148375</v>
      </c>
      <c r="AQ44" s="531">
        <v>602131.60000000021</v>
      </c>
      <c r="AR44" s="531">
        <f t="shared" si="29"/>
        <v>-628479.11999999918</v>
      </c>
      <c r="AS44" s="550">
        <v>7915304</v>
      </c>
      <c r="AT44" s="530">
        <v>586192</v>
      </c>
      <c r="AU44" s="531">
        <v>789566</v>
      </c>
      <c r="AV44" s="531">
        <v>747254</v>
      </c>
      <c r="AW44" s="531">
        <v>798857</v>
      </c>
      <c r="AX44" s="531">
        <f t="shared" si="30"/>
        <v>923183.5</v>
      </c>
      <c r="AY44" s="531">
        <f t="shared" si="63"/>
        <v>923183.5</v>
      </c>
      <c r="AZ44" s="531">
        <f t="shared" si="63"/>
        <v>923183.5</v>
      </c>
      <c r="BA44" s="531">
        <f t="shared" si="63"/>
        <v>923183.5</v>
      </c>
      <c r="BB44" s="531">
        <f t="shared" si="63"/>
        <v>923183.5</v>
      </c>
      <c r="BC44" s="531">
        <f t="shared" si="63"/>
        <v>923183.5</v>
      </c>
      <c r="BD44" s="531">
        <f t="shared" si="63"/>
        <v>923183.5</v>
      </c>
      <c r="BE44" s="531">
        <f t="shared" si="63"/>
        <v>923183.5</v>
      </c>
      <c r="BF44" s="550">
        <v>10307337</v>
      </c>
      <c r="BG44" s="530">
        <f t="shared" si="32"/>
        <v>825084.91666666663</v>
      </c>
      <c r="BH44" s="531">
        <f t="shared" si="64"/>
        <v>825084.91666666663</v>
      </c>
      <c r="BI44" s="531">
        <f t="shared" si="64"/>
        <v>825084.91666666663</v>
      </c>
      <c r="BJ44" s="531">
        <f t="shared" si="64"/>
        <v>825084.91666666663</v>
      </c>
      <c r="BK44" s="531">
        <f t="shared" si="64"/>
        <v>825084.91666666663</v>
      </c>
      <c r="BL44" s="531">
        <f t="shared" si="64"/>
        <v>825084.91666666663</v>
      </c>
      <c r="BM44" s="531">
        <f t="shared" si="64"/>
        <v>825084.91666666663</v>
      </c>
      <c r="BN44" s="531">
        <f t="shared" si="64"/>
        <v>825084.91666666663</v>
      </c>
      <c r="BO44" s="531">
        <f t="shared" si="64"/>
        <v>825084.91666666663</v>
      </c>
      <c r="BP44" s="531">
        <f t="shared" si="64"/>
        <v>825084.91666666663</v>
      </c>
      <c r="BQ44" s="531">
        <f t="shared" si="64"/>
        <v>825084.91666666663</v>
      </c>
      <c r="BR44" s="531">
        <f t="shared" si="64"/>
        <v>825084.91666666663</v>
      </c>
      <c r="BS44" s="550">
        <v>9901019</v>
      </c>
    </row>
    <row r="45" spans="1:71" s="557" customFormat="1">
      <c r="A45" s="551" t="s">
        <v>344</v>
      </c>
      <c r="B45" s="552"/>
      <c r="C45" s="553"/>
      <c r="D45" s="554">
        <f>SUM(D29:D44)</f>
        <v>4281894.53</v>
      </c>
      <c r="E45" s="555">
        <f t="shared" ref="E45:O45" si="66">SUM(E29:E44)</f>
        <v>39660714.120000005</v>
      </c>
      <c r="F45" s="555">
        <f t="shared" si="66"/>
        <v>42339149</v>
      </c>
      <c r="G45" s="555">
        <f t="shared" si="66"/>
        <v>42020633</v>
      </c>
      <c r="H45" s="555">
        <f t="shared" si="66"/>
        <v>43105196</v>
      </c>
      <c r="I45" s="555">
        <f t="shared" si="66"/>
        <v>32026649</v>
      </c>
      <c r="J45" s="555">
        <f t="shared" si="66"/>
        <v>32008459</v>
      </c>
      <c r="K45" s="555">
        <f t="shared" si="66"/>
        <v>33284599</v>
      </c>
      <c r="L45" s="555">
        <f t="shared" si="66"/>
        <v>38493365</v>
      </c>
      <c r="M45" s="555">
        <f t="shared" si="66"/>
        <v>32728016</v>
      </c>
      <c r="N45" s="555">
        <f t="shared" si="66"/>
        <v>10765981</v>
      </c>
      <c r="O45" s="555">
        <f t="shared" si="66"/>
        <v>7111711.929999996</v>
      </c>
      <c r="P45" s="555">
        <f t="shared" si="34"/>
        <v>-140723699.57999998</v>
      </c>
      <c r="Q45" s="550">
        <f>SUM(Q29:Q44)</f>
        <v>217102668</v>
      </c>
      <c r="R45" s="554">
        <f>SUM(R29:R44)</f>
        <v>4875303</v>
      </c>
      <c r="S45" s="555">
        <f>SUM(S29:S44)</f>
        <v>42036940</v>
      </c>
      <c r="T45" s="555">
        <f t="shared" ref="T45:AC45" si="67">SUM(T29:T44)</f>
        <v>46414783</v>
      </c>
      <c r="U45" s="555">
        <f t="shared" si="67"/>
        <v>46936755</v>
      </c>
      <c r="V45" s="555">
        <f t="shared" si="67"/>
        <v>35014872</v>
      </c>
      <c r="W45" s="555">
        <f>SUM(W29:W44)</f>
        <v>37691596</v>
      </c>
      <c r="X45" s="555">
        <f t="shared" si="67"/>
        <v>35623683</v>
      </c>
      <c r="Y45" s="555">
        <f t="shared" si="67"/>
        <v>8259405</v>
      </c>
      <c r="Z45" s="555">
        <f t="shared" si="67"/>
        <v>6077348.9399999976</v>
      </c>
      <c r="AA45" s="555">
        <f>SUM(AA29:AA44)</f>
        <v>7614205</v>
      </c>
      <c r="AB45" s="555">
        <f>SUM(AB29:AB44)</f>
        <v>3552151</v>
      </c>
      <c r="AC45" s="555">
        <f t="shared" si="67"/>
        <v>-83006789</v>
      </c>
      <c r="AD45" s="577">
        <f t="shared" si="28"/>
        <v>164665377.06</v>
      </c>
      <c r="AE45" s="550">
        <f t="shared" ref="AE45:AP45" si="68">SUM(AE29:AE44)</f>
        <v>355755630</v>
      </c>
      <c r="AF45" s="554">
        <f t="shared" si="68"/>
        <v>4248609</v>
      </c>
      <c r="AG45" s="555">
        <f t="shared" si="68"/>
        <v>45261980</v>
      </c>
      <c r="AH45" s="555">
        <f t="shared" si="68"/>
        <v>48245619</v>
      </c>
      <c r="AI45" s="555">
        <f t="shared" si="68"/>
        <v>58453524</v>
      </c>
      <c r="AJ45" s="555">
        <f t="shared" si="68"/>
        <v>30833777.550000001</v>
      </c>
      <c r="AK45" s="555">
        <f t="shared" si="68"/>
        <v>30978978</v>
      </c>
      <c r="AL45" s="555">
        <f t="shared" si="68"/>
        <v>28153710.939999968</v>
      </c>
      <c r="AM45" s="555">
        <f t="shared" si="68"/>
        <v>1931840.92</v>
      </c>
      <c r="AN45" s="555">
        <f t="shared" si="68"/>
        <v>39186199.200000003</v>
      </c>
      <c r="AO45" s="555">
        <f t="shared" si="68"/>
        <v>-40123546.789999999</v>
      </c>
      <c r="AP45" s="555">
        <f t="shared" si="68"/>
        <v>-18021376</v>
      </c>
      <c r="AQ45" s="555">
        <f>SUM(AQ29:AQ44)</f>
        <v>197564180.89999995</v>
      </c>
      <c r="AR45" s="577">
        <f t="shared" si="29"/>
        <v>-27295709.719999909</v>
      </c>
      <c r="AS45" s="550">
        <f>SUM(AS29:AS44)</f>
        <v>399417787</v>
      </c>
      <c r="AT45" s="554">
        <v>3865376</v>
      </c>
      <c r="AU45" s="555">
        <f>SUM(AU29:AU44)</f>
        <v>44011207.640000001</v>
      </c>
      <c r="AV45" s="555">
        <f>SUM(AV29:AV44)</f>
        <v>47808176</v>
      </c>
      <c r="AW45" s="555">
        <f>SUM(AW29:AW44)</f>
        <v>48507327</v>
      </c>
      <c r="AX45" s="555">
        <f>SUM(AX29:AX44)</f>
        <v>10558561.795</v>
      </c>
      <c r="AY45" s="555">
        <f t="shared" si="63"/>
        <v>10558561.795</v>
      </c>
      <c r="AZ45" s="555">
        <f t="shared" si="63"/>
        <v>10558561.795</v>
      </c>
      <c r="BA45" s="555">
        <f t="shared" si="63"/>
        <v>10558561.795</v>
      </c>
      <c r="BB45" s="555">
        <f t="shared" si="63"/>
        <v>10558561.795</v>
      </c>
      <c r="BC45" s="555">
        <f t="shared" si="63"/>
        <v>10558561.795</v>
      </c>
      <c r="BD45" s="555">
        <f t="shared" si="63"/>
        <v>10558561.795</v>
      </c>
      <c r="BE45" s="555">
        <f t="shared" si="63"/>
        <v>10558561.795</v>
      </c>
      <c r="BF45" s="550">
        <f>SUM(BF29:BF44)</f>
        <v>228660581</v>
      </c>
      <c r="BG45" s="554">
        <f t="shared" si="32"/>
        <v>19739056.75</v>
      </c>
      <c r="BH45" s="555">
        <f t="shared" si="64"/>
        <v>19739056.75</v>
      </c>
      <c r="BI45" s="555">
        <f t="shared" si="64"/>
        <v>19739056.75</v>
      </c>
      <c r="BJ45" s="555">
        <f t="shared" si="64"/>
        <v>19739056.75</v>
      </c>
      <c r="BK45" s="555">
        <f t="shared" si="64"/>
        <v>19739056.75</v>
      </c>
      <c r="BL45" s="555">
        <f t="shared" si="64"/>
        <v>19739056.75</v>
      </c>
      <c r="BM45" s="555">
        <f t="shared" si="64"/>
        <v>19739056.75</v>
      </c>
      <c r="BN45" s="555">
        <f t="shared" si="64"/>
        <v>19739056.75</v>
      </c>
      <c r="BO45" s="555">
        <f t="shared" si="64"/>
        <v>19739056.75</v>
      </c>
      <c r="BP45" s="555">
        <f t="shared" si="64"/>
        <v>19739056.75</v>
      </c>
      <c r="BQ45" s="555">
        <f t="shared" si="64"/>
        <v>19739056.75</v>
      </c>
      <c r="BR45" s="555">
        <f t="shared" si="64"/>
        <v>19739056.75</v>
      </c>
      <c r="BS45" s="550">
        <f t="shared" ref="BS45" si="69">SUM(BS29:BS44)</f>
        <v>236868681</v>
      </c>
    </row>
    <row r="46" spans="1:71" ht="15" customHeight="1">
      <c r="A46" s="527" t="s">
        <v>34</v>
      </c>
      <c r="B46" s="521" t="s">
        <v>87</v>
      </c>
      <c r="C46" s="529" t="s">
        <v>86</v>
      </c>
      <c r="D46" s="530">
        <v>496152.63</v>
      </c>
      <c r="E46" s="531">
        <v>513900.5</v>
      </c>
      <c r="F46" s="531">
        <v>544830</v>
      </c>
      <c r="G46" s="531">
        <v>537541</v>
      </c>
      <c r="H46" s="531">
        <v>542299</v>
      </c>
      <c r="I46" s="531">
        <v>553258</v>
      </c>
      <c r="J46" s="531">
        <v>533940</v>
      </c>
      <c r="K46" s="531">
        <v>526023</v>
      </c>
      <c r="L46" s="531">
        <v>1120356</v>
      </c>
      <c r="M46" s="531">
        <v>525307</v>
      </c>
      <c r="N46" s="531">
        <v>730947</v>
      </c>
      <c r="O46" s="531">
        <v>741420</v>
      </c>
      <c r="P46" s="531">
        <f t="shared" si="34"/>
        <v>-1500384.13</v>
      </c>
      <c r="Q46" s="550">
        <v>5865590</v>
      </c>
      <c r="R46" s="530">
        <v>560853</v>
      </c>
      <c r="S46" s="531">
        <v>519684</v>
      </c>
      <c r="T46" s="531">
        <v>459134</v>
      </c>
      <c r="U46" s="531">
        <v>535122</v>
      </c>
      <c r="V46" s="531">
        <v>544034</v>
      </c>
      <c r="W46" s="531">
        <v>987049</v>
      </c>
      <c r="X46" s="531">
        <v>620632</v>
      </c>
      <c r="Y46" s="531">
        <v>658026</v>
      </c>
      <c r="Z46" s="531">
        <v>519686.9200000001</v>
      </c>
      <c r="AA46" s="531">
        <v>680629</v>
      </c>
      <c r="AB46" s="531">
        <v>610014</v>
      </c>
      <c r="AC46" s="531">
        <v>-1013335</v>
      </c>
      <c r="AD46" s="531">
        <f t="shared" si="28"/>
        <v>272516.08000000007</v>
      </c>
      <c r="AE46" s="550">
        <v>5954045</v>
      </c>
      <c r="AF46" s="530">
        <v>476534</v>
      </c>
      <c r="AG46" s="531">
        <v>506015</v>
      </c>
      <c r="AH46" s="531">
        <v>511921</v>
      </c>
      <c r="AI46" s="531">
        <v>585563</v>
      </c>
      <c r="AJ46" s="531">
        <v>482491</v>
      </c>
      <c r="AK46" s="531">
        <v>528135</v>
      </c>
      <c r="AL46" s="531">
        <v>535619.86999999988</v>
      </c>
      <c r="AM46" s="531">
        <v>551740</v>
      </c>
      <c r="AN46" s="531">
        <v>1334772</v>
      </c>
      <c r="AO46" s="531">
        <v>643880</v>
      </c>
      <c r="AP46" s="531">
        <v>599430</v>
      </c>
      <c r="AQ46" s="531">
        <v>578886.27</v>
      </c>
      <c r="AR46" s="531">
        <f t="shared" si="29"/>
        <v>-1019452.1400000006</v>
      </c>
      <c r="AS46" s="550">
        <v>6315535</v>
      </c>
      <c r="AT46" s="530">
        <v>493813</v>
      </c>
      <c r="AU46" s="531">
        <v>580107</v>
      </c>
      <c r="AV46" s="531">
        <v>581432</v>
      </c>
      <c r="AW46" s="531">
        <v>590382</v>
      </c>
      <c r="AX46" s="531">
        <f t="shared" si="30"/>
        <v>482298.625</v>
      </c>
      <c r="AY46" s="531">
        <f t="shared" si="63"/>
        <v>482298.625</v>
      </c>
      <c r="AZ46" s="531">
        <f t="shared" si="63"/>
        <v>482298.625</v>
      </c>
      <c r="BA46" s="531">
        <f t="shared" si="63"/>
        <v>482298.625</v>
      </c>
      <c r="BB46" s="531">
        <f t="shared" si="63"/>
        <v>482298.625</v>
      </c>
      <c r="BC46" s="531">
        <f t="shared" si="63"/>
        <v>482298.625</v>
      </c>
      <c r="BD46" s="531">
        <f t="shared" si="63"/>
        <v>482298.625</v>
      </c>
      <c r="BE46" s="531">
        <f t="shared" si="63"/>
        <v>482298.625</v>
      </c>
      <c r="BF46" s="550">
        <v>6104123</v>
      </c>
      <c r="BG46" s="530">
        <f t="shared" si="32"/>
        <v>540457.33333333337</v>
      </c>
      <c r="BH46" s="531">
        <f t="shared" si="64"/>
        <v>540457.33333333337</v>
      </c>
      <c r="BI46" s="531">
        <f t="shared" si="64"/>
        <v>540457.33333333337</v>
      </c>
      <c r="BJ46" s="531">
        <f t="shared" si="64"/>
        <v>540457.33333333337</v>
      </c>
      <c r="BK46" s="531">
        <f t="shared" si="64"/>
        <v>540457.33333333337</v>
      </c>
      <c r="BL46" s="531">
        <f t="shared" si="64"/>
        <v>540457.33333333337</v>
      </c>
      <c r="BM46" s="531">
        <f t="shared" si="64"/>
        <v>540457.33333333337</v>
      </c>
      <c r="BN46" s="531">
        <f t="shared" si="64"/>
        <v>540457.33333333337</v>
      </c>
      <c r="BO46" s="531">
        <f t="shared" si="64"/>
        <v>540457.33333333337</v>
      </c>
      <c r="BP46" s="531">
        <f t="shared" si="64"/>
        <v>540457.33333333337</v>
      </c>
      <c r="BQ46" s="531">
        <f t="shared" si="64"/>
        <v>540457.33333333337</v>
      </c>
      <c r="BR46" s="531">
        <f t="shared" si="64"/>
        <v>540457.33333333337</v>
      </c>
      <c r="BS46" s="550">
        <v>6485488</v>
      </c>
    </row>
    <row r="47" spans="1:71" ht="15" customHeight="1">
      <c r="A47" s="527"/>
      <c r="B47" s="521" t="s">
        <v>155</v>
      </c>
      <c r="C47" s="529" t="s">
        <v>156</v>
      </c>
      <c r="D47" s="530">
        <v>0</v>
      </c>
      <c r="E47" s="531">
        <v>0</v>
      </c>
      <c r="F47" s="531">
        <v>0</v>
      </c>
      <c r="G47" s="531">
        <v>0</v>
      </c>
      <c r="H47" s="531">
        <v>0</v>
      </c>
      <c r="I47" s="531">
        <v>0</v>
      </c>
      <c r="J47" s="531">
        <v>0</v>
      </c>
      <c r="K47" s="531">
        <v>0</v>
      </c>
      <c r="L47" s="531">
        <v>0</v>
      </c>
      <c r="M47" s="531">
        <v>0</v>
      </c>
      <c r="N47" s="531">
        <v>0</v>
      </c>
      <c r="O47" s="531">
        <v>0</v>
      </c>
      <c r="P47" s="531">
        <f t="shared" si="34"/>
        <v>7073</v>
      </c>
      <c r="Q47" s="550">
        <v>7073</v>
      </c>
      <c r="R47" s="530">
        <v>0</v>
      </c>
      <c r="S47" s="531">
        <v>0</v>
      </c>
      <c r="T47" s="531">
        <v>0</v>
      </c>
      <c r="U47" s="531">
        <v>0</v>
      </c>
      <c r="V47" s="531">
        <v>0</v>
      </c>
      <c r="W47" s="531">
        <v>0</v>
      </c>
      <c r="X47" s="531">
        <v>0</v>
      </c>
      <c r="Y47" s="531">
        <v>0</v>
      </c>
      <c r="Z47" s="531">
        <v>0</v>
      </c>
      <c r="AA47" s="531">
        <v>0</v>
      </c>
      <c r="AB47" s="531">
        <v>0</v>
      </c>
      <c r="AC47" s="531">
        <v>0</v>
      </c>
      <c r="AD47" s="531">
        <f t="shared" si="28"/>
        <v>5986</v>
      </c>
      <c r="AE47" s="550">
        <v>5986</v>
      </c>
      <c r="AF47" s="530">
        <v>0</v>
      </c>
      <c r="AG47" s="531">
        <v>0</v>
      </c>
      <c r="AH47" s="531">
        <v>0</v>
      </c>
      <c r="AI47" s="531">
        <v>0</v>
      </c>
      <c r="AJ47" s="531">
        <v>0</v>
      </c>
      <c r="AK47" s="531">
        <v>0</v>
      </c>
      <c r="AL47" s="531">
        <v>0</v>
      </c>
      <c r="AM47" s="531">
        <v>0</v>
      </c>
      <c r="AN47" s="531">
        <v>0</v>
      </c>
      <c r="AO47" s="531">
        <v>0</v>
      </c>
      <c r="AP47" s="531">
        <v>0</v>
      </c>
      <c r="AQ47" s="531">
        <v>0</v>
      </c>
      <c r="AR47" s="531">
        <f t="shared" si="29"/>
        <v>6209</v>
      </c>
      <c r="AS47" s="550">
        <v>6209</v>
      </c>
      <c r="AT47" s="530">
        <v>0</v>
      </c>
      <c r="AU47" s="531">
        <v>0</v>
      </c>
      <c r="AV47" s="531">
        <v>0</v>
      </c>
      <c r="AW47" s="531">
        <v>0</v>
      </c>
      <c r="AX47" s="531">
        <f t="shared" si="30"/>
        <v>1099</v>
      </c>
      <c r="AY47" s="531">
        <f t="shared" si="63"/>
        <v>1099</v>
      </c>
      <c r="AZ47" s="531">
        <f t="shared" si="63"/>
        <v>1099</v>
      </c>
      <c r="BA47" s="531">
        <f t="shared" si="63"/>
        <v>1099</v>
      </c>
      <c r="BB47" s="531">
        <f t="shared" si="63"/>
        <v>1099</v>
      </c>
      <c r="BC47" s="531">
        <f t="shared" si="63"/>
        <v>1099</v>
      </c>
      <c r="BD47" s="531">
        <f t="shared" si="63"/>
        <v>1099</v>
      </c>
      <c r="BE47" s="531">
        <f t="shared" si="63"/>
        <v>1099</v>
      </c>
      <c r="BF47" s="550">
        <v>8792</v>
      </c>
      <c r="BG47" s="530">
        <f t="shared" si="32"/>
        <v>732.66666666666663</v>
      </c>
      <c r="BH47" s="531">
        <f t="shared" si="64"/>
        <v>732.66666666666663</v>
      </c>
      <c r="BI47" s="531">
        <f t="shared" si="64"/>
        <v>732.66666666666663</v>
      </c>
      <c r="BJ47" s="531">
        <f t="shared" si="64"/>
        <v>732.66666666666663</v>
      </c>
      <c r="BK47" s="531">
        <f t="shared" si="64"/>
        <v>732.66666666666663</v>
      </c>
      <c r="BL47" s="531">
        <f t="shared" si="64"/>
        <v>732.66666666666663</v>
      </c>
      <c r="BM47" s="531">
        <f t="shared" si="64"/>
        <v>732.66666666666663</v>
      </c>
      <c r="BN47" s="531">
        <f t="shared" si="64"/>
        <v>732.66666666666663</v>
      </c>
      <c r="BO47" s="531">
        <f t="shared" si="64"/>
        <v>732.66666666666663</v>
      </c>
      <c r="BP47" s="531">
        <f t="shared" si="64"/>
        <v>732.66666666666663</v>
      </c>
      <c r="BQ47" s="531">
        <f t="shared" si="64"/>
        <v>732.66666666666663</v>
      </c>
      <c r="BR47" s="531">
        <f t="shared" si="64"/>
        <v>732.66666666666663</v>
      </c>
      <c r="BS47" s="550">
        <v>8792</v>
      </c>
    </row>
    <row r="48" spans="1:71" s="512" customFormat="1" ht="15" customHeight="1">
      <c r="A48" s="527" t="s">
        <v>345</v>
      </c>
      <c r="B48" s="521"/>
      <c r="C48" s="529"/>
      <c r="D48" s="559">
        <v>496152.63</v>
      </c>
      <c r="E48" s="560">
        <f t="shared" ref="E48:O48" si="70">SUM(E46:E47)</f>
        <v>513900.5</v>
      </c>
      <c r="F48" s="560">
        <f t="shared" si="70"/>
        <v>544830</v>
      </c>
      <c r="G48" s="560">
        <f t="shared" si="70"/>
        <v>537541</v>
      </c>
      <c r="H48" s="560">
        <f t="shared" si="70"/>
        <v>542299</v>
      </c>
      <c r="I48" s="560">
        <f t="shared" si="70"/>
        <v>553258</v>
      </c>
      <c r="J48" s="560">
        <f t="shared" si="70"/>
        <v>533940</v>
      </c>
      <c r="K48" s="560">
        <f t="shared" si="70"/>
        <v>526023</v>
      </c>
      <c r="L48" s="560">
        <f t="shared" si="70"/>
        <v>1120356</v>
      </c>
      <c r="M48" s="560">
        <f t="shared" si="70"/>
        <v>525307</v>
      </c>
      <c r="N48" s="560">
        <f t="shared" si="70"/>
        <v>730947</v>
      </c>
      <c r="O48" s="560">
        <f t="shared" si="70"/>
        <v>741420</v>
      </c>
      <c r="P48" s="560">
        <f t="shared" si="34"/>
        <v>-1493311.13</v>
      </c>
      <c r="Q48" s="550">
        <f>SUM(Q46:Q47)</f>
        <v>5872663</v>
      </c>
      <c r="R48" s="559">
        <f>SUM(R46:R47)</f>
        <v>560853</v>
      </c>
      <c r="S48" s="560">
        <f>SUM(S46:S47)</f>
        <v>519684</v>
      </c>
      <c r="T48" s="560">
        <f>SUM(T46:T47)</f>
        <v>459134</v>
      </c>
      <c r="U48" s="560">
        <f>SUM(U46:U47)</f>
        <v>535122</v>
      </c>
      <c r="V48" s="560">
        <f t="shared" ref="V48:AC48" si="71">SUM(V46:V47)</f>
        <v>544034</v>
      </c>
      <c r="W48" s="560">
        <f t="shared" si="71"/>
        <v>987049</v>
      </c>
      <c r="X48" s="560">
        <f t="shared" si="71"/>
        <v>620632</v>
      </c>
      <c r="Y48" s="560">
        <f t="shared" si="71"/>
        <v>658026</v>
      </c>
      <c r="Z48" s="560">
        <f t="shared" si="71"/>
        <v>519686.9200000001</v>
      </c>
      <c r="AA48" s="560">
        <f>SUM(AA46:AA47)</f>
        <v>680629</v>
      </c>
      <c r="AB48" s="560">
        <f t="shared" si="71"/>
        <v>610014</v>
      </c>
      <c r="AC48" s="560">
        <f t="shared" si="71"/>
        <v>-1013335</v>
      </c>
      <c r="AD48" s="578">
        <f t="shared" si="28"/>
        <v>278502.08000000007</v>
      </c>
      <c r="AE48" s="550">
        <f t="shared" ref="AE48:AP48" si="72">SUM(AE46:AE47)</f>
        <v>5960031</v>
      </c>
      <c r="AF48" s="559">
        <f t="shared" si="72"/>
        <v>476534</v>
      </c>
      <c r="AG48" s="560">
        <f t="shared" si="72"/>
        <v>506015</v>
      </c>
      <c r="AH48" s="560">
        <f t="shared" si="72"/>
        <v>511921</v>
      </c>
      <c r="AI48" s="531">
        <f t="shared" si="72"/>
        <v>585563</v>
      </c>
      <c r="AJ48" s="531">
        <f t="shared" si="72"/>
        <v>482491</v>
      </c>
      <c r="AK48" s="531">
        <f t="shared" si="72"/>
        <v>528135</v>
      </c>
      <c r="AL48" s="531">
        <f t="shared" si="72"/>
        <v>535619.86999999988</v>
      </c>
      <c r="AM48" s="531">
        <f t="shared" si="72"/>
        <v>551740</v>
      </c>
      <c r="AN48" s="531">
        <f t="shared" si="72"/>
        <v>1334772</v>
      </c>
      <c r="AO48" s="531">
        <f t="shared" si="72"/>
        <v>643880</v>
      </c>
      <c r="AP48" s="531">
        <f t="shared" si="72"/>
        <v>599430</v>
      </c>
      <c r="AQ48" s="531">
        <f>SUM(AQ46:AQ47)</f>
        <v>578886.27</v>
      </c>
      <c r="AR48" s="578">
        <f t="shared" si="29"/>
        <v>-1013243.1400000006</v>
      </c>
      <c r="AS48" s="550">
        <f>SUM(AS46:AS47)</f>
        <v>6321744</v>
      </c>
      <c r="AT48" s="559">
        <v>493813</v>
      </c>
      <c r="AU48" s="560">
        <f>SUM(AU46:AU47)</f>
        <v>580107</v>
      </c>
      <c r="AV48" s="560">
        <f>SUM(AV46:AV47)</f>
        <v>581432</v>
      </c>
      <c r="AW48" s="560">
        <f>SUM(AW46:AW47)</f>
        <v>590382</v>
      </c>
      <c r="AX48" s="560">
        <f>SUM(AX46:AX47)</f>
        <v>483397.625</v>
      </c>
      <c r="AY48" s="560">
        <f t="shared" si="63"/>
        <v>483397.625</v>
      </c>
      <c r="AZ48" s="560">
        <f t="shared" si="63"/>
        <v>483397.625</v>
      </c>
      <c r="BA48" s="560">
        <f t="shared" si="63"/>
        <v>483397.625</v>
      </c>
      <c r="BB48" s="560">
        <f t="shared" si="63"/>
        <v>483397.625</v>
      </c>
      <c r="BC48" s="560">
        <f t="shared" si="63"/>
        <v>483397.625</v>
      </c>
      <c r="BD48" s="560">
        <f t="shared" si="63"/>
        <v>483397.625</v>
      </c>
      <c r="BE48" s="560">
        <f t="shared" si="63"/>
        <v>483397.625</v>
      </c>
      <c r="BF48" s="550">
        <f>SUM(BF46:BF47)</f>
        <v>6112915</v>
      </c>
      <c r="BG48" s="559">
        <f t="shared" si="32"/>
        <v>541190</v>
      </c>
      <c r="BH48" s="560">
        <f t="shared" si="64"/>
        <v>541190</v>
      </c>
      <c r="BI48" s="560">
        <f t="shared" si="64"/>
        <v>541190</v>
      </c>
      <c r="BJ48" s="560">
        <f t="shared" si="64"/>
        <v>541190</v>
      </c>
      <c r="BK48" s="560">
        <f t="shared" si="64"/>
        <v>541190</v>
      </c>
      <c r="BL48" s="560">
        <f t="shared" si="64"/>
        <v>541190</v>
      </c>
      <c r="BM48" s="560">
        <f t="shared" si="64"/>
        <v>541190</v>
      </c>
      <c r="BN48" s="560">
        <f t="shared" si="64"/>
        <v>541190</v>
      </c>
      <c r="BO48" s="560">
        <f t="shared" si="64"/>
        <v>541190</v>
      </c>
      <c r="BP48" s="560">
        <f t="shared" si="64"/>
        <v>541190</v>
      </c>
      <c r="BQ48" s="560">
        <f t="shared" si="64"/>
        <v>541190</v>
      </c>
      <c r="BR48" s="560">
        <f t="shared" si="64"/>
        <v>541190</v>
      </c>
      <c r="BS48" s="550">
        <f t="shared" ref="BS48" si="73">SUM(BS46:BS47)</f>
        <v>6494280</v>
      </c>
    </row>
    <row r="49" spans="1:71" s="512" customFormat="1" ht="16.8" thickBot="1">
      <c r="A49" s="561" t="s">
        <v>152</v>
      </c>
      <c r="B49" s="538"/>
      <c r="C49" s="539"/>
      <c r="D49" s="562">
        <f>SUM(D48,D45,D28)</f>
        <v>44639864.280000001</v>
      </c>
      <c r="E49" s="562">
        <f t="shared" ref="E49:O49" si="74">SUM(E48,E45,E28)</f>
        <v>50396468.740000002</v>
      </c>
      <c r="F49" s="562">
        <f t="shared" si="74"/>
        <v>51334903</v>
      </c>
      <c r="G49" s="562">
        <f t="shared" si="74"/>
        <v>51238605</v>
      </c>
      <c r="H49" s="562">
        <f t="shared" si="74"/>
        <v>51995958</v>
      </c>
      <c r="I49" s="562">
        <f t="shared" si="74"/>
        <v>52555951</v>
      </c>
      <c r="J49" s="562">
        <f t="shared" si="74"/>
        <v>53370865</v>
      </c>
      <c r="K49" s="562">
        <f t="shared" si="74"/>
        <v>53008374</v>
      </c>
      <c r="L49" s="562">
        <f t="shared" si="74"/>
        <v>105143347</v>
      </c>
      <c r="M49" s="562">
        <f t="shared" si="74"/>
        <v>53811114</v>
      </c>
      <c r="N49" s="562">
        <f t="shared" si="74"/>
        <v>71901693</v>
      </c>
      <c r="O49" s="562">
        <f t="shared" si="74"/>
        <v>68641861.929999992</v>
      </c>
      <c r="P49" s="562">
        <f t="shared" si="34"/>
        <v>22872820.050000072</v>
      </c>
      <c r="Q49" s="563">
        <f>SUM(Q28,Q45,Q48)</f>
        <v>730911825</v>
      </c>
      <c r="R49" s="562">
        <f>SUM(R48,R45,R28)</f>
        <v>52015259</v>
      </c>
      <c r="S49" s="562">
        <f>SUM(S48,S28,S45)</f>
        <v>54804973</v>
      </c>
      <c r="T49" s="562">
        <f>T28+T45+T48</f>
        <v>48450197</v>
      </c>
      <c r="U49" s="562">
        <f t="shared" ref="U49:AC49" si="75">U28+U45+U48</f>
        <v>56443804</v>
      </c>
      <c r="V49" s="562">
        <f t="shared" si="75"/>
        <v>54355446</v>
      </c>
      <c r="W49" s="562">
        <f>SUM(W28,W45,W48)</f>
        <v>92054183</v>
      </c>
      <c r="X49" s="562">
        <f t="shared" si="75"/>
        <v>62445263</v>
      </c>
      <c r="Y49" s="562">
        <f t="shared" si="75"/>
        <v>65862363</v>
      </c>
      <c r="Z49" s="562">
        <f t="shared" si="75"/>
        <v>58042744.859999999</v>
      </c>
      <c r="AA49" s="562">
        <f t="shared" si="75"/>
        <v>69876613</v>
      </c>
      <c r="AB49" s="562">
        <f t="shared" si="75"/>
        <v>61338822</v>
      </c>
      <c r="AC49" s="562">
        <f t="shared" si="75"/>
        <v>67384296</v>
      </c>
      <c r="AD49" s="579">
        <v>37814864.992831856</v>
      </c>
      <c r="AE49" s="550">
        <f>AE28+AE45+AE48</f>
        <v>780888828</v>
      </c>
      <c r="AF49" s="562">
        <f>SUM(AF48,AF45,AF28)</f>
        <v>47087143</v>
      </c>
      <c r="AG49" s="562">
        <f>SUM(AG28,AG45,AG48)</f>
        <v>56365474</v>
      </c>
      <c r="AH49" s="562">
        <f>AH28+AH45+AH48</f>
        <v>56921902</v>
      </c>
      <c r="AI49" s="562">
        <f>AI28+AI45+AI48</f>
        <v>68187357</v>
      </c>
      <c r="AJ49" s="562">
        <f>AJ28+AJ45+AJ48</f>
        <v>53861734.549999997</v>
      </c>
      <c r="AK49" s="562">
        <f>AK28+AK48+AK45</f>
        <v>56524849</v>
      </c>
      <c r="AL49" s="562">
        <f>AL28+AL45+AL48</f>
        <v>55709037.790000089</v>
      </c>
      <c r="AM49" s="562">
        <f>AM28+AM45+AM48</f>
        <v>58684222.920000002</v>
      </c>
      <c r="AN49" s="562">
        <f>AN28+AN45+AN48</f>
        <v>128045769.2</v>
      </c>
      <c r="AO49" s="562">
        <f>AO28+AO45+AO48</f>
        <v>66965060.039999984</v>
      </c>
      <c r="AP49" s="562">
        <f>AP28+AP45+AP48</f>
        <v>58016481</v>
      </c>
      <c r="AQ49" s="562">
        <f t="shared" ref="AQ49" si="76">AQ28+AQ45+AQ48</f>
        <v>61056825.840000056</v>
      </c>
      <c r="AR49" s="579">
        <f t="shared" si="29"/>
        <v>40128311.659999847</v>
      </c>
      <c r="AS49" s="550">
        <f>AS28+AS45+AS48</f>
        <v>807554168</v>
      </c>
      <c r="AT49" s="562">
        <v>48054661</v>
      </c>
      <c r="AU49" s="562">
        <f>AU28+AU45+AU48</f>
        <v>60831525.640000001</v>
      </c>
      <c r="AV49" s="562">
        <f>AV28+AV45+AV48</f>
        <v>65321288</v>
      </c>
      <c r="AW49" s="562">
        <f>AW28+AW45+AW48</f>
        <v>63403675</v>
      </c>
      <c r="AX49" s="562">
        <f>AX28+AX45+AX48</f>
        <v>73511942.420000002</v>
      </c>
      <c r="AY49" s="562">
        <f t="shared" si="63"/>
        <v>73511942.420000002</v>
      </c>
      <c r="AZ49" s="562">
        <f t="shared" si="63"/>
        <v>73511942.420000002</v>
      </c>
      <c r="BA49" s="562">
        <f t="shared" si="63"/>
        <v>73511942.420000002</v>
      </c>
      <c r="BB49" s="562">
        <f t="shared" si="63"/>
        <v>73511942.420000002</v>
      </c>
      <c r="BC49" s="562">
        <f t="shared" si="63"/>
        <v>73511942.420000002</v>
      </c>
      <c r="BD49" s="562">
        <f t="shared" si="63"/>
        <v>73511942.420000002</v>
      </c>
      <c r="BE49" s="562">
        <f t="shared" si="63"/>
        <v>73511942.420000002</v>
      </c>
      <c r="BF49" s="563">
        <f>SUM(BF28,BF45,BF48)</f>
        <v>825706689</v>
      </c>
      <c r="BG49" s="562">
        <f t="shared" si="32"/>
        <v>70751179.833333328</v>
      </c>
      <c r="BH49" s="562">
        <f t="shared" si="64"/>
        <v>70751179.833333328</v>
      </c>
      <c r="BI49" s="562">
        <f t="shared" si="64"/>
        <v>70751179.833333328</v>
      </c>
      <c r="BJ49" s="562">
        <f t="shared" si="64"/>
        <v>70751179.833333328</v>
      </c>
      <c r="BK49" s="562">
        <f t="shared" si="64"/>
        <v>70751179.833333328</v>
      </c>
      <c r="BL49" s="562">
        <f t="shared" si="64"/>
        <v>70751179.833333328</v>
      </c>
      <c r="BM49" s="562">
        <f t="shared" si="64"/>
        <v>70751179.833333328</v>
      </c>
      <c r="BN49" s="562">
        <f t="shared" si="64"/>
        <v>70751179.833333328</v>
      </c>
      <c r="BO49" s="562">
        <f t="shared" si="64"/>
        <v>70751179.833333328</v>
      </c>
      <c r="BP49" s="562">
        <f t="shared" si="64"/>
        <v>70751179.833333328</v>
      </c>
      <c r="BQ49" s="562">
        <f t="shared" si="64"/>
        <v>70751179.833333328</v>
      </c>
      <c r="BR49" s="562">
        <f t="shared" si="64"/>
        <v>70751179.833333328</v>
      </c>
      <c r="BS49" s="550">
        <f>BS28+BS45+BS48</f>
        <v>849014158</v>
      </c>
    </row>
    <row r="50" spans="1:71" ht="19.95" customHeight="1">
      <c r="C50" s="527"/>
      <c r="D50" s="564"/>
      <c r="E50" s="565"/>
      <c r="F50" s="565"/>
      <c r="G50" s="565"/>
      <c r="H50" s="565"/>
      <c r="I50" s="565"/>
      <c r="J50" s="565"/>
      <c r="K50" s="565"/>
      <c r="L50" s="565"/>
      <c r="M50" s="565"/>
      <c r="N50" s="565"/>
      <c r="O50" s="565"/>
      <c r="P50" s="565"/>
      <c r="Q50" s="566"/>
      <c r="R50" s="564"/>
      <c r="S50" s="565"/>
      <c r="T50" s="565"/>
      <c r="U50" s="565"/>
      <c r="V50" s="565"/>
      <c r="W50" s="565"/>
      <c r="X50" s="565"/>
      <c r="Y50" s="565"/>
      <c r="Z50" s="565"/>
      <c r="AA50" s="565"/>
      <c r="AB50" s="565"/>
      <c r="AC50" s="565"/>
      <c r="AD50" s="565"/>
      <c r="AE50" s="566"/>
      <c r="AF50" s="564"/>
      <c r="AG50" s="565"/>
      <c r="AH50" s="565"/>
      <c r="AI50" s="565"/>
      <c r="AJ50" s="565"/>
      <c r="AK50" s="565"/>
      <c r="AL50" s="565"/>
      <c r="AM50" s="565"/>
      <c r="AN50" s="565"/>
      <c r="AO50" s="565"/>
      <c r="AP50" s="565"/>
      <c r="AQ50" s="565"/>
      <c r="AR50" s="565"/>
      <c r="AS50" s="566"/>
      <c r="AT50" s="564"/>
      <c r="AU50" s="565"/>
      <c r="AV50" s="565"/>
      <c r="AW50" s="565"/>
      <c r="AX50" s="565"/>
      <c r="AY50" s="565"/>
      <c r="AZ50" s="565"/>
      <c r="BA50" s="565"/>
      <c r="BB50" s="565"/>
      <c r="BC50" s="565"/>
      <c r="BD50" s="565"/>
      <c r="BE50" s="565"/>
      <c r="BF50" s="566"/>
      <c r="BG50" s="564"/>
      <c r="BH50" s="565"/>
      <c r="BI50" s="565"/>
      <c r="BJ50" s="565"/>
      <c r="BK50" s="565"/>
      <c r="BL50" s="565"/>
      <c r="BM50" s="565"/>
      <c r="BN50" s="565"/>
      <c r="BO50" s="565"/>
      <c r="BP50" s="565"/>
      <c r="BQ50" s="565"/>
      <c r="BR50" s="565"/>
      <c r="BS50" s="566"/>
    </row>
    <row r="51" spans="1:71" s="567" customFormat="1">
      <c r="C51" s="559" t="s">
        <v>346</v>
      </c>
      <c r="D51" s="559">
        <v>9767.9</v>
      </c>
      <c r="E51" s="559">
        <v>9785.7999999999993</v>
      </c>
      <c r="F51" s="559">
        <v>9835.7000000000007</v>
      </c>
      <c r="G51" s="559">
        <v>9867</v>
      </c>
      <c r="H51" s="559">
        <v>9848.2000000000007</v>
      </c>
      <c r="I51" s="559">
        <v>9859.2999999999993</v>
      </c>
      <c r="J51" s="559">
        <v>9869.2999999999993</v>
      </c>
      <c r="K51" s="559">
        <v>9887.4</v>
      </c>
      <c r="L51" s="559">
        <v>9887.7999999999993</v>
      </c>
      <c r="M51" s="559">
        <v>9877.4</v>
      </c>
      <c r="N51" s="559">
        <v>9868.2999999999993</v>
      </c>
      <c r="O51" s="559">
        <v>9822.6</v>
      </c>
      <c r="P51" s="560"/>
      <c r="Q51" s="550">
        <v>9848.0583333333325</v>
      </c>
      <c r="R51" s="559">
        <v>9927.6</v>
      </c>
      <c r="S51" s="560">
        <v>9929.4</v>
      </c>
      <c r="T51" s="560">
        <v>9959.8999999999833</v>
      </c>
      <c r="U51" s="560">
        <v>9977.9</v>
      </c>
      <c r="V51" s="560">
        <v>9969.9</v>
      </c>
      <c r="W51" s="560">
        <v>9953</v>
      </c>
      <c r="X51" s="560">
        <v>9813.7999999999993</v>
      </c>
      <c r="Y51" s="560">
        <v>9855.5</v>
      </c>
      <c r="Z51" s="560">
        <v>9930.1</v>
      </c>
      <c r="AA51" s="560">
        <v>9927.7999999999993</v>
      </c>
      <c r="AB51" s="560">
        <v>10001.200000000001</v>
      </c>
      <c r="AC51" s="560">
        <v>10016.9</v>
      </c>
      <c r="AD51" s="560"/>
      <c r="AE51" s="550">
        <f>AVERAGE(R51:AB51)</f>
        <v>9931.4636363636364</v>
      </c>
      <c r="AF51" s="559">
        <v>9964.1</v>
      </c>
      <c r="AG51" s="560">
        <v>9975.4</v>
      </c>
      <c r="AH51" s="560">
        <v>10010.700000000001</v>
      </c>
      <c r="AI51" s="560">
        <v>10033.5</v>
      </c>
      <c r="AJ51" s="560">
        <v>10051.200000000001</v>
      </c>
      <c r="AK51" s="560">
        <v>10027.4</v>
      </c>
      <c r="AL51" s="560">
        <v>9998.2999999999993</v>
      </c>
      <c r="AM51" s="560">
        <v>9969</v>
      </c>
      <c r="AN51" s="560">
        <v>9901.9</v>
      </c>
      <c r="AO51" s="560">
        <v>9877.4</v>
      </c>
      <c r="AP51" s="560">
        <v>9852.5</v>
      </c>
      <c r="AQ51" s="560">
        <v>9832.9</v>
      </c>
      <c r="AR51" s="560"/>
      <c r="AS51" s="550">
        <f>AVERAGE(AF51:AP51)</f>
        <v>9969.2181818181798</v>
      </c>
      <c r="AT51" s="559">
        <v>9639.6</v>
      </c>
      <c r="AU51" s="559">
        <v>9602.7999999999993</v>
      </c>
      <c r="AV51" s="559">
        <v>9583.65</v>
      </c>
      <c r="AW51" s="559">
        <v>9789.5</v>
      </c>
      <c r="AX51" s="559">
        <v>10173.4</v>
      </c>
      <c r="AY51" s="559">
        <v>10173.4</v>
      </c>
      <c r="AZ51" s="559">
        <v>10173.4</v>
      </c>
      <c r="BA51" s="559">
        <v>10173.4</v>
      </c>
      <c r="BB51" s="559">
        <v>10173.4</v>
      </c>
      <c r="BC51" s="559">
        <v>10173.4</v>
      </c>
      <c r="BD51" s="559">
        <v>10173.4</v>
      </c>
      <c r="BE51" s="559">
        <v>10173.4</v>
      </c>
      <c r="BF51" s="550">
        <v>9848.0583333333325</v>
      </c>
      <c r="BG51" s="559">
        <v>9933.4</v>
      </c>
      <c r="BH51" s="560">
        <v>9933.4</v>
      </c>
      <c r="BI51" s="560">
        <v>9933.4</v>
      </c>
      <c r="BJ51" s="560">
        <v>9933.4</v>
      </c>
      <c r="BK51" s="560">
        <v>9933.4</v>
      </c>
      <c r="BL51" s="560">
        <v>9933.4</v>
      </c>
      <c r="BM51" s="560">
        <v>9933.4</v>
      </c>
      <c r="BN51" s="560">
        <v>9933.4</v>
      </c>
      <c r="BO51" s="560">
        <v>9933.4</v>
      </c>
      <c r="BP51" s="560">
        <v>9933.4</v>
      </c>
      <c r="BQ51" s="560">
        <v>9933.4</v>
      </c>
      <c r="BR51" s="560">
        <v>9933.4</v>
      </c>
      <c r="BS51" s="550">
        <f>AVERAGE(BG51:BQ51)</f>
        <v>9933.3999999999978</v>
      </c>
    </row>
    <row r="52" spans="1:71" s="567" customFormat="1">
      <c r="C52" s="559"/>
      <c r="D52" s="559"/>
      <c r="E52" s="560"/>
      <c r="F52" s="560"/>
      <c r="G52" s="560"/>
      <c r="H52" s="560"/>
      <c r="I52" s="560"/>
      <c r="J52" s="560"/>
      <c r="K52" s="560"/>
      <c r="L52" s="560"/>
      <c r="M52" s="560"/>
      <c r="N52" s="560"/>
      <c r="O52" s="560"/>
      <c r="P52" s="560"/>
      <c r="Q52" s="550"/>
      <c r="R52" s="559"/>
      <c r="S52" s="560"/>
      <c r="T52" s="560"/>
      <c r="U52" s="560"/>
      <c r="V52" s="560"/>
      <c r="W52" s="560"/>
      <c r="X52" s="560"/>
      <c r="Y52" s="560"/>
      <c r="Z52" s="560"/>
      <c r="AA52" s="560"/>
      <c r="AB52" s="560"/>
      <c r="AC52" s="560"/>
      <c r="AD52" s="560"/>
      <c r="AE52" s="550"/>
      <c r="AF52" s="559"/>
      <c r="AG52" s="560"/>
      <c r="AH52" s="560"/>
      <c r="AI52" s="560"/>
      <c r="AJ52" s="560"/>
      <c r="AK52" s="560"/>
      <c r="AL52" s="560"/>
      <c r="AM52" s="560"/>
      <c r="AN52" s="560"/>
      <c r="AO52" s="560"/>
      <c r="AP52" s="560"/>
      <c r="AQ52" s="560"/>
      <c r="AR52" s="560"/>
      <c r="AS52" s="550"/>
      <c r="AT52" s="559"/>
      <c r="AU52" s="560"/>
      <c r="AV52" s="560"/>
      <c r="AW52" s="560"/>
      <c r="AX52" s="560"/>
      <c r="AY52" s="560"/>
      <c r="AZ52" s="560"/>
      <c r="BA52" s="560"/>
      <c r="BB52" s="560"/>
      <c r="BC52" s="560"/>
      <c r="BD52" s="560"/>
      <c r="BE52" s="560"/>
      <c r="BF52" s="550"/>
      <c r="BG52" s="559"/>
      <c r="BH52" s="560"/>
      <c r="BI52" s="560"/>
      <c r="BJ52" s="560"/>
      <c r="BK52" s="560"/>
      <c r="BL52" s="560"/>
      <c r="BM52" s="560"/>
      <c r="BN52" s="560"/>
      <c r="BO52" s="560"/>
      <c r="BP52" s="560"/>
      <c r="BQ52" s="560"/>
      <c r="BR52" s="560"/>
      <c r="BS52" s="550"/>
    </row>
    <row r="53" spans="1:71" s="571" customFormat="1">
      <c r="C53" s="568" t="s">
        <v>347</v>
      </c>
      <c r="D53" s="569">
        <v>4242.1029752239037</v>
      </c>
      <c r="E53" s="569">
        <v>4424.1482670683145</v>
      </c>
      <c r="F53" s="569">
        <v>4450.7800156572484</v>
      </c>
      <c r="G53" s="569">
        <v>4492.874835309618</v>
      </c>
      <c r="H53" s="569">
        <v>4451.2334233667061</v>
      </c>
      <c r="I53" s="569">
        <v>4467.433590620024</v>
      </c>
      <c r="J53" s="569">
        <v>4489.1854538822408</v>
      </c>
      <c r="K53" s="569">
        <v>4506.7313955134823</v>
      </c>
      <c r="L53" s="569">
        <v>4708.2465260219669</v>
      </c>
      <c r="M53" s="569">
        <v>4582.4138441604046</v>
      </c>
      <c r="N53" s="569">
        <v>4580.8508051032095</v>
      </c>
      <c r="O53" s="569">
        <v>4553.571204131199</v>
      </c>
      <c r="P53" s="569"/>
      <c r="Q53" s="570">
        <v>65192.462712768953</v>
      </c>
      <c r="R53" s="569">
        <f>SUM(R8,R9)/R51</f>
        <v>4282.8738063580322</v>
      </c>
      <c r="S53" s="569">
        <f>SUM(S8,S9)/S51</f>
        <v>4505.7488871432315</v>
      </c>
      <c r="T53" s="569">
        <f t="shared" ref="T53:AB53" si="77">SUM(T8,T9)/T51</f>
        <v>4593.4474241709331</v>
      </c>
      <c r="U53" s="569">
        <f t="shared" si="77"/>
        <v>4568.8632878661847</v>
      </c>
      <c r="V53" s="569">
        <f t="shared" si="77"/>
        <v>4509.0973831232013</v>
      </c>
      <c r="W53" s="569">
        <f t="shared" si="77"/>
        <v>4570.7233999799055</v>
      </c>
      <c r="X53" s="569">
        <f t="shared" si="77"/>
        <v>4587.1805009272657</v>
      </c>
      <c r="Y53" s="569">
        <f t="shared" si="77"/>
        <v>4745.7634823195167</v>
      </c>
      <c r="Z53" s="569">
        <f t="shared" si="77"/>
        <v>4835.7152963019671</v>
      </c>
      <c r="AA53" s="569">
        <f t="shared" si="77"/>
        <v>4517.1953504301055</v>
      </c>
      <c r="AB53" s="569">
        <f t="shared" si="77"/>
        <v>4551.2299524057107</v>
      </c>
      <c r="AC53" s="569">
        <f>SUM(AC8,AC9)/AC51</f>
        <v>4231.7069163114338</v>
      </c>
      <c r="AD53" s="569"/>
      <c r="AE53" s="570">
        <f>SUM(AE8,AE9)/AE51</f>
        <v>58847.794383506596</v>
      </c>
      <c r="AF53" s="569">
        <f>SUM(AF8,AF9)/AF51</f>
        <v>4320.8182374725266</v>
      </c>
      <c r="AG53" s="569">
        <f>SUM(AG8,AG9)/AG51</f>
        <v>4582.8046995609202</v>
      </c>
      <c r="AH53" s="569">
        <f t="shared" ref="AH53:AP53" si="78">SUM(AH8,AH9)/AH51</f>
        <v>4662.849950552908</v>
      </c>
      <c r="AI53" s="569">
        <f t="shared" si="78"/>
        <v>5777.0902476703041</v>
      </c>
      <c r="AJ53" s="569">
        <f t="shared" si="78"/>
        <v>4396.8263490926456</v>
      </c>
      <c r="AK53" s="569">
        <f t="shared" si="78"/>
        <v>4450.6490216805951</v>
      </c>
      <c r="AL53" s="569">
        <f t="shared" si="78"/>
        <v>4519.1956519881423</v>
      </c>
      <c r="AM53" s="569">
        <f t="shared" si="78"/>
        <v>4674.811515698666</v>
      </c>
      <c r="AN53" s="569">
        <f t="shared" si="78"/>
        <v>4808.6805626718215</v>
      </c>
      <c r="AO53" s="569">
        <f t="shared" si="78"/>
        <v>4948.0228602668722</v>
      </c>
      <c r="AP53" s="569">
        <f t="shared" si="78"/>
        <v>5008.8919563562549</v>
      </c>
      <c r="AQ53" s="569">
        <f>SUM(AQ8,AQ9)/AQ51</f>
        <v>5141.940716041755</v>
      </c>
      <c r="AR53" s="569"/>
      <c r="AS53" s="570">
        <f>SUM(AS8,AS9)/AS51</f>
        <v>56183.32087680808</v>
      </c>
      <c r="AT53" s="569">
        <v>4242.1029752239037</v>
      </c>
      <c r="AU53" s="569">
        <v>4424.1482670683145</v>
      </c>
      <c r="AV53" s="569">
        <v>4450.7800156572484</v>
      </c>
      <c r="AW53" s="569">
        <v>4492.874835309618</v>
      </c>
      <c r="AX53" s="569">
        <v>4451.2334233667061</v>
      </c>
      <c r="AY53" s="569">
        <v>4467.433590620024</v>
      </c>
      <c r="AZ53" s="569">
        <v>4489.1854538822408</v>
      </c>
      <c r="BA53" s="569">
        <v>4506.7313955134823</v>
      </c>
      <c r="BB53" s="569">
        <v>4708.2465260219669</v>
      </c>
      <c r="BC53" s="569">
        <v>4582.4138441604046</v>
      </c>
      <c r="BD53" s="569">
        <v>4580.8508051032095</v>
      </c>
      <c r="BE53" s="569">
        <v>4553.571204131199</v>
      </c>
      <c r="BF53" s="570">
        <v>65192.462712768953</v>
      </c>
      <c r="BG53" s="569">
        <f>SUM(BG8,BG9)/BG51</f>
        <v>4863.5131727303842</v>
      </c>
      <c r="BH53" s="569">
        <f>SUM(BH8,BH9)/BH51</f>
        <v>4863.5131727303842</v>
      </c>
      <c r="BI53" s="569">
        <f t="shared" ref="BI53:BQ53" si="79">SUM(BI8,BI9)/BI51</f>
        <v>4863.5131727303842</v>
      </c>
      <c r="BJ53" s="569">
        <f t="shared" si="79"/>
        <v>4863.5131727303842</v>
      </c>
      <c r="BK53" s="569">
        <f t="shared" si="79"/>
        <v>4863.5131727303842</v>
      </c>
      <c r="BL53" s="569">
        <f t="shared" si="79"/>
        <v>4863.5131727303842</v>
      </c>
      <c r="BM53" s="569">
        <f t="shared" si="79"/>
        <v>4863.5131727303842</v>
      </c>
      <c r="BN53" s="569">
        <f t="shared" si="79"/>
        <v>4863.5131727303842</v>
      </c>
      <c r="BO53" s="569">
        <f t="shared" si="79"/>
        <v>4863.5131727303842</v>
      </c>
      <c r="BP53" s="569">
        <f t="shared" si="79"/>
        <v>4863.5131727303842</v>
      </c>
      <c r="BQ53" s="569">
        <f t="shared" si="79"/>
        <v>4863.5131727303842</v>
      </c>
      <c r="BR53" s="569">
        <f>SUM(BR8,BR9)/BR51</f>
        <v>4863.5131727303842</v>
      </c>
      <c r="BS53" s="570">
        <f>SUM(BS8,BS9)/BS51</f>
        <v>58362.158072764629</v>
      </c>
    </row>
    <row r="54" spans="1:71" s="571" customFormat="1" ht="16.8" thickBot="1">
      <c r="C54" s="572" t="s">
        <v>348</v>
      </c>
      <c r="D54" s="573">
        <v>4569.073431341435</v>
      </c>
      <c r="E54" s="573">
        <v>5149.9589961074889</v>
      </c>
      <c r="F54" s="573">
        <v>5219.2424535111886</v>
      </c>
      <c r="G54" s="573">
        <v>5168.4231275970405</v>
      </c>
      <c r="H54" s="573">
        <v>5253.3710728864153</v>
      </c>
      <c r="I54" s="573">
        <v>5313.4522734879765</v>
      </c>
      <c r="J54" s="573">
        <v>5377.0547049942752</v>
      </c>
      <c r="K54" s="573">
        <v>5342.8309767987539</v>
      </c>
      <c r="L54" s="573">
        <v>10606.549889763142</v>
      </c>
      <c r="M54" s="573">
        <v>5423.2137590343591</v>
      </c>
      <c r="N54" s="573">
        <v>7156.5279734098076</v>
      </c>
      <c r="O54" s="573">
        <v>6967.6208861932937</v>
      </c>
      <c r="P54" s="573"/>
      <c r="Q54" s="574">
        <v>73697.487325173162</v>
      </c>
      <c r="R54" s="573">
        <f>(R21-R18-R19-R20)/R51</f>
        <v>5234.1013940932344</v>
      </c>
      <c r="S54" s="573">
        <f>(S21-S18-S19-S20)/S51</f>
        <v>5211.1632122786878</v>
      </c>
      <c r="T54" s="573">
        <f t="shared" ref="T54:AB54" si="80">(T21-T18-T19-T20)/T51</f>
        <v>4800.7972971616264</v>
      </c>
      <c r="U54" s="573">
        <f t="shared" si="80"/>
        <v>5268.9050802273023</v>
      </c>
      <c r="V54" s="573">
        <f t="shared" si="80"/>
        <v>5395.2921293092213</v>
      </c>
      <c r="W54" s="573">
        <f t="shared" si="80"/>
        <v>9209.646940620918</v>
      </c>
      <c r="X54" s="573">
        <f t="shared" si="80"/>
        <v>6253.1974362632218</v>
      </c>
      <c r="Y54" s="573">
        <f t="shared" si="80"/>
        <v>6455.8898856719597</v>
      </c>
      <c r="Z54" s="573">
        <f t="shared" si="80"/>
        <v>5520.5177147187005</v>
      </c>
      <c r="AA54" s="573">
        <f t="shared" si="80"/>
        <v>6627.8811015532146</v>
      </c>
      <c r="AB54" s="573">
        <f t="shared" si="80"/>
        <v>5913.1760188777344</v>
      </c>
      <c r="AC54" s="573">
        <f>(AC21-AC18-AC19-AC20)/AC51</f>
        <v>5381.8948287394305</v>
      </c>
      <c r="AD54" s="573"/>
      <c r="AE54" s="574">
        <f>(AE21-AE18-AE19-AE20)/AE51</f>
        <v>73639.69378311903</v>
      </c>
      <c r="AF54" s="573">
        <f>(AF21-AF18-AF19-AF20)/AF51</f>
        <v>4721.2649411386874</v>
      </c>
      <c r="AG54" s="573">
        <f>(AG21-AG18-AG19-AG20)/AG51</f>
        <v>5195.0450107263869</v>
      </c>
      <c r="AH54" s="573">
        <f t="shared" ref="AH54:AP54" si="81">(AH21-AH18-AH19-AH20)/AH51</f>
        <v>5232.2101351553838</v>
      </c>
      <c r="AI54" s="573">
        <f t="shared" si="81"/>
        <v>6341.4603079683066</v>
      </c>
      <c r="AJ54" s="573">
        <f t="shared" si="81"/>
        <v>4903.7767629735754</v>
      </c>
      <c r="AK54" s="573">
        <f t="shared" si="81"/>
        <v>5186.1767756347608</v>
      </c>
      <c r="AL54" s="573">
        <f t="shared" si="81"/>
        <v>5121.0034131485399</v>
      </c>
      <c r="AM54" s="573">
        <f t="shared" si="81"/>
        <v>5316.7182265021565</v>
      </c>
      <c r="AN54" s="573">
        <f t="shared" si="81"/>
        <v>12469.141266074199</v>
      </c>
      <c r="AO54" s="573">
        <f t="shared" si="81"/>
        <v>6313.7718427926384</v>
      </c>
      <c r="AP54" s="573">
        <f t="shared" si="81"/>
        <v>5417.860238518143</v>
      </c>
      <c r="AQ54" s="573">
        <f>(AQ21-AQ18-AQ19-AQ20)/AQ51</f>
        <v>5764.6538857911637</v>
      </c>
      <c r="AR54" s="573"/>
      <c r="AS54" s="574">
        <f>(AS21-AS18-AS19-AS20)/AS51</f>
        <v>75636.407213477141</v>
      </c>
      <c r="AT54" s="573">
        <v>4569.073431341435</v>
      </c>
      <c r="AU54" s="573">
        <v>5149.9589961074889</v>
      </c>
      <c r="AV54" s="573">
        <v>5219.2424535111886</v>
      </c>
      <c r="AW54" s="573">
        <v>5168.4231275970405</v>
      </c>
      <c r="AX54" s="573">
        <v>5253.3710728864153</v>
      </c>
      <c r="AY54" s="573">
        <v>5313.4522734879765</v>
      </c>
      <c r="AZ54" s="573">
        <v>5377.0547049942752</v>
      </c>
      <c r="BA54" s="573">
        <v>5342.8309767987539</v>
      </c>
      <c r="BB54" s="573">
        <v>10606.549889763142</v>
      </c>
      <c r="BC54" s="573">
        <v>5423.2137590343591</v>
      </c>
      <c r="BD54" s="573">
        <v>7156.5279734098076</v>
      </c>
      <c r="BE54" s="573">
        <v>6967.6208861932937</v>
      </c>
      <c r="BF54" s="574">
        <v>73697.487325173162</v>
      </c>
      <c r="BG54" s="573">
        <f>(BG21-BG18-BG19-BG20)/BG51</f>
        <v>6448.5520315299918</v>
      </c>
      <c r="BH54" s="573">
        <f>(BH21-BH18-BH19-BH20)/BH51</f>
        <v>6448.5520315299918</v>
      </c>
      <c r="BI54" s="573">
        <f t="shared" ref="BI54:BQ54" si="82">(BI21-BI18-BI19-BI20)/BI51</f>
        <v>6448.5520315299918</v>
      </c>
      <c r="BJ54" s="573">
        <f t="shared" si="82"/>
        <v>6448.5520315299918</v>
      </c>
      <c r="BK54" s="573">
        <f t="shared" si="82"/>
        <v>6448.5520315299918</v>
      </c>
      <c r="BL54" s="573">
        <f t="shared" si="82"/>
        <v>6448.5520315299918</v>
      </c>
      <c r="BM54" s="573">
        <f t="shared" si="82"/>
        <v>6448.5520315299918</v>
      </c>
      <c r="BN54" s="573">
        <f t="shared" si="82"/>
        <v>6448.5520315299918</v>
      </c>
      <c r="BO54" s="573">
        <f t="shared" si="82"/>
        <v>6448.5520315299918</v>
      </c>
      <c r="BP54" s="573">
        <f t="shared" si="82"/>
        <v>6448.5520315299918</v>
      </c>
      <c r="BQ54" s="573">
        <f t="shared" si="82"/>
        <v>6448.5520315299918</v>
      </c>
      <c r="BR54" s="573">
        <f>(BR21-BR18-BR19-BR20)/BR51</f>
        <v>6448.5520315299918</v>
      </c>
      <c r="BS54" s="574">
        <f>(BS21-BS18-BS19-BS20)/BS51</f>
        <v>77382.624378359891</v>
      </c>
    </row>
    <row r="55" spans="1:71">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5"/>
      <c r="BJ55" s="575"/>
      <c r="BK55" s="575"/>
      <c r="BL55" s="575"/>
      <c r="BM55" s="575"/>
      <c r="BN55" s="575"/>
      <c r="BO55" s="575"/>
      <c r="BP55" s="575"/>
      <c r="BQ55" s="575"/>
      <c r="BR55" s="575"/>
      <c r="BS55" s="575"/>
    </row>
    <row r="56" spans="1:71">
      <c r="D56" s="385"/>
      <c r="E56" s="385"/>
      <c r="F56" s="385"/>
      <c r="G56" s="385"/>
      <c r="H56" s="385"/>
      <c r="I56" s="385"/>
      <c r="J56" s="385"/>
      <c r="K56" s="385"/>
      <c r="L56" s="385"/>
      <c r="M56" s="385"/>
      <c r="N56" s="385"/>
      <c r="O56" s="385"/>
      <c r="P56" s="385"/>
      <c r="Q56" s="385"/>
      <c r="R56" s="385"/>
      <c r="S56" s="385"/>
      <c r="T56" s="385"/>
      <c r="U56" s="385"/>
      <c r="V56" s="385"/>
      <c r="W56" s="385"/>
      <c r="X56" s="385"/>
      <c r="Y56" s="385"/>
      <c r="Z56" s="385"/>
      <c r="AA56" s="385"/>
      <c r="AB56" s="385"/>
      <c r="AC56" s="385"/>
      <c r="AD56" s="385"/>
      <c r="AE56" s="385"/>
      <c r="AF56" s="385"/>
      <c r="AG56" s="385"/>
      <c r="AH56" s="385"/>
      <c r="AI56" s="385"/>
      <c r="AJ56" s="385"/>
      <c r="AK56" s="385"/>
      <c r="AL56" s="385"/>
      <c r="AM56" s="385"/>
      <c r="AN56" s="385"/>
      <c r="AO56" s="385"/>
      <c r="AP56" s="385"/>
      <c r="AQ56" s="385"/>
      <c r="AR56" s="385"/>
      <c r="AS56" s="385"/>
      <c r="AT56" s="385"/>
      <c r="AU56" s="385"/>
      <c r="AV56" s="385"/>
      <c r="AW56" s="385"/>
      <c r="AX56" s="385"/>
      <c r="AY56" s="385"/>
      <c r="AZ56" s="385"/>
      <c r="BA56" s="385"/>
      <c r="BB56" s="385"/>
      <c r="BC56" s="385"/>
      <c r="BD56" s="385"/>
      <c r="BE56" s="385"/>
      <c r="BF56" s="385"/>
      <c r="BG56" s="385"/>
      <c r="BH56" s="385"/>
      <c r="BI56" s="385"/>
      <c r="BJ56" s="385"/>
      <c r="BK56" s="385"/>
      <c r="BL56" s="385"/>
      <c r="BM56" s="385"/>
      <c r="BN56" s="385"/>
      <c r="BO56" s="385"/>
      <c r="BP56" s="385"/>
      <c r="BQ56" s="385"/>
      <c r="BR56" s="385"/>
      <c r="BS56" s="385"/>
    </row>
    <row r="57" spans="1:71">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row>
    <row r="58" spans="1:71">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5"/>
      <c r="BJ58" s="575"/>
      <c r="BK58" s="575"/>
      <c r="BL58" s="575"/>
      <c r="BM58" s="575"/>
      <c r="BN58" s="575"/>
      <c r="BO58" s="575"/>
      <c r="BP58" s="575"/>
      <c r="BQ58" s="575"/>
      <c r="BR58" s="575"/>
      <c r="BS58" s="575"/>
    </row>
    <row r="59" spans="1:71">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5"/>
      <c r="AL59" s="575"/>
      <c r="AM59" s="575"/>
      <c r="AN59" s="575"/>
      <c r="AO59" s="575"/>
      <c r="AP59" s="575"/>
      <c r="AQ59" s="575"/>
      <c r="AR59" s="575"/>
      <c r="AS59" s="575"/>
      <c r="AT59" s="575"/>
      <c r="AU59" s="575"/>
      <c r="AV59" s="575"/>
      <c r="AW59" s="575"/>
      <c r="AX59" s="575"/>
      <c r="AY59" s="575"/>
      <c r="AZ59" s="575"/>
      <c r="BA59" s="575"/>
      <c r="BB59" s="575"/>
      <c r="BC59" s="575"/>
      <c r="BD59" s="575"/>
      <c r="BE59" s="575"/>
      <c r="BF59" s="575"/>
      <c r="BG59" s="575"/>
      <c r="BH59" s="575"/>
      <c r="BI59" s="575"/>
      <c r="BJ59" s="575"/>
      <c r="BK59" s="575"/>
      <c r="BL59" s="575"/>
      <c r="BM59" s="575"/>
      <c r="BN59" s="575"/>
      <c r="BO59" s="575"/>
      <c r="BP59" s="575"/>
      <c r="BQ59" s="575"/>
      <c r="BR59" s="575"/>
      <c r="BS59" s="575"/>
    </row>
    <row r="61" spans="1:71">
      <c r="AR61" s="580"/>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AE3C5-43BC-477E-88BB-7709E189C4B1}">
  <dimension ref="A1:BS59"/>
  <sheetViews>
    <sheetView zoomScale="60" zoomScaleNormal="60" workbookViewId="0">
      <pane xSplit="3" ySplit="7" topLeftCell="AT8" activePane="bottomRight" state="frozen"/>
      <selection activeCell="BA33" sqref="BA33"/>
      <selection pane="topRight" activeCell="BA33" sqref="BA33"/>
      <selection pane="bottomLeft" activeCell="BA33" sqref="BA33"/>
      <selection pane="bottomRight" activeCell="BA33" sqref="BA33"/>
    </sheetView>
  </sheetViews>
  <sheetFormatPr defaultRowHeight="16.2"/>
  <cols>
    <col min="1" max="1" width="15.5546875" style="512" customWidth="1"/>
    <col min="2" max="2" width="18.6640625" style="512" customWidth="1"/>
    <col min="3" max="3" width="84.44140625" style="512" customWidth="1"/>
    <col min="4" max="4" width="17" style="513" bestFit="1" customWidth="1"/>
    <col min="5" max="5" width="16" style="513" bestFit="1" customWidth="1"/>
    <col min="6" max="6" width="16.44140625" style="513" bestFit="1" customWidth="1"/>
    <col min="7" max="7" width="16.21875" style="513" bestFit="1" customWidth="1"/>
    <col min="8" max="14" width="16" style="513" bestFit="1" customWidth="1"/>
    <col min="15" max="15" width="17.33203125" style="513" bestFit="1" customWidth="1"/>
    <col min="16" max="16" width="18.44140625" style="513" customWidth="1"/>
    <col min="17" max="17" width="18.88671875" style="512" bestFit="1" customWidth="1"/>
    <col min="18" max="18" width="17.44140625" style="513" bestFit="1" customWidth="1"/>
    <col min="19" max="28" width="17.33203125" style="513" bestFit="1" customWidth="1"/>
    <col min="29" max="29" width="18.33203125" style="513" bestFit="1" customWidth="1"/>
    <col min="30" max="30" width="25.33203125" style="513" bestFit="1" customWidth="1"/>
    <col min="31" max="31" width="18.88671875" style="512" bestFit="1" customWidth="1"/>
    <col min="32" max="32" width="17" style="513" bestFit="1" customWidth="1"/>
    <col min="33" max="38" width="17.33203125" style="513" bestFit="1" customWidth="1"/>
    <col min="39" max="43" width="18.6640625" style="513" bestFit="1" customWidth="1"/>
    <col min="44" max="44" width="25.88671875" style="513" bestFit="1" customWidth="1"/>
    <col min="45" max="45" width="18.88671875" style="512" customWidth="1"/>
    <col min="46" max="46" width="17" style="513" bestFit="1" customWidth="1"/>
    <col min="47" max="52" width="17.33203125" style="513" bestFit="1" customWidth="1"/>
    <col min="53" max="57" width="18.6640625" style="513" bestFit="1" customWidth="1"/>
    <col min="58" max="58" width="18.88671875" style="512" customWidth="1"/>
    <col min="59" max="59" width="17" style="513" bestFit="1" customWidth="1"/>
    <col min="60" max="65" width="17.33203125" style="513" bestFit="1" customWidth="1"/>
    <col min="66" max="70" width="18.6640625" style="513" bestFit="1" customWidth="1"/>
    <col min="71" max="71" width="18.88671875" style="512" customWidth="1"/>
    <col min="72" max="16384" width="8.88671875" style="513"/>
  </cols>
  <sheetData>
    <row r="1" spans="1:71">
      <c r="A1" s="512" t="s">
        <v>305</v>
      </c>
    </row>
    <row r="2" spans="1:71">
      <c r="A2" s="528" t="s">
        <v>386</v>
      </c>
    </row>
    <row r="3" spans="1:71">
      <c r="A3" s="512" t="s">
        <v>598</v>
      </c>
      <c r="D3" s="514"/>
      <c r="E3" s="514"/>
      <c r="F3" s="514"/>
      <c r="G3" s="514"/>
      <c r="H3" s="514"/>
      <c r="I3" s="514"/>
      <c r="J3" s="514"/>
      <c r="K3" s="514"/>
      <c r="L3" s="514"/>
      <c r="M3" s="514"/>
      <c r="N3" s="514"/>
      <c r="O3" s="515"/>
      <c r="P3" s="515"/>
      <c r="Q3" s="515"/>
      <c r="R3" s="514"/>
      <c r="S3" s="514"/>
      <c r="T3" s="514"/>
      <c r="U3" s="514"/>
      <c r="V3" s="514"/>
      <c r="W3" s="514"/>
      <c r="X3" s="514"/>
      <c r="Y3" s="514"/>
      <c r="Z3" s="514"/>
      <c r="AA3" s="514"/>
      <c r="AB3" s="514"/>
      <c r="AC3" s="515"/>
      <c r="AD3" s="515"/>
      <c r="AE3" s="515"/>
      <c r="AF3" s="514"/>
      <c r="AG3" s="514"/>
      <c r="AH3" s="514"/>
      <c r="AI3" s="514"/>
      <c r="AJ3" s="514"/>
      <c r="AK3" s="514"/>
      <c r="AL3" s="514"/>
      <c r="AM3" s="514"/>
      <c r="AN3" s="514"/>
      <c r="AO3" s="514"/>
      <c r="AP3" s="514"/>
      <c r="AQ3" s="515"/>
      <c r="AR3" s="515"/>
      <c r="AS3" s="515"/>
      <c r="AT3" s="514"/>
      <c r="AU3" s="514"/>
      <c r="AV3" s="514"/>
      <c r="AW3" s="514"/>
      <c r="AX3" s="514"/>
      <c r="AY3" s="514"/>
      <c r="AZ3" s="514"/>
      <c r="BA3" s="514"/>
      <c r="BB3" s="514"/>
      <c r="BC3" s="514"/>
      <c r="BD3" s="514"/>
      <c r="BE3" s="515"/>
      <c r="BF3" s="515"/>
      <c r="BG3" s="514"/>
      <c r="BH3" s="514"/>
      <c r="BI3" s="514"/>
      <c r="BJ3" s="514"/>
      <c r="BK3" s="514"/>
      <c r="BL3" s="514"/>
      <c r="BM3" s="514"/>
      <c r="BN3" s="514"/>
      <c r="BO3" s="514"/>
      <c r="BP3" s="514"/>
      <c r="BQ3" s="514"/>
      <c r="BR3" s="515"/>
      <c r="BS3" s="515"/>
    </row>
    <row r="4" spans="1:71">
      <c r="A4" s="512" t="s">
        <v>628</v>
      </c>
      <c r="D4" s="516"/>
      <c r="E4" s="514"/>
      <c r="F4" s="514"/>
      <c r="G4" s="514"/>
      <c r="H4" s="514"/>
      <c r="I4" s="514"/>
      <c r="J4" s="514"/>
      <c r="K4" s="514"/>
      <c r="L4" s="514"/>
      <c r="M4" s="514"/>
      <c r="N4" s="514"/>
      <c r="O4" s="514"/>
      <c r="P4" s="514"/>
      <c r="Q4" s="517"/>
      <c r="R4" s="516"/>
      <c r="S4" s="514"/>
      <c r="T4" s="514"/>
      <c r="U4" s="514"/>
      <c r="V4" s="514"/>
      <c r="W4" s="514"/>
      <c r="X4" s="514"/>
      <c r="Y4" s="514"/>
      <c r="Z4" s="514"/>
      <c r="AA4" s="514"/>
      <c r="AB4" s="514"/>
      <c r="AC4" s="514"/>
      <c r="AD4" s="514"/>
      <c r="AE4" s="517"/>
      <c r="AF4" s="516"/>
      <c r="AG4" s="514"/>
      <c r="AH4" s="514"/>
      <c r="AI4" s="514"/>
      <c r="AJ4" s="514"/>
      <c r="AK4" s="514"/>
      <c r="AL4" s="514"/>
      <c r="AM4" s="514"/>
      <c r="AN4" s="514"/>
      <c r="AO4" s="514"/>
      <c r="AP4" s="514"/>
      <c r="AQ4" s="514"/>
      <c r="AR4" s="514"/>
      <c r="AS4" s="517"/>
      <c r="AT4" s="516"/>
      <c r="AU4" s="514"/>
      <c r="AV4" s="514"/>
      <c r="AW4" s="514"/>
      <c r="AX4" s="514"/>
      <c r="AY4" s="514"/>
      <c r="AZ4" s="514"/>
      <c r="BA4" s="514"/>
      <c r="BB4" s="514"/>
      <c r="BC4" s="514"/>
      <c r="BD4" s="514"/>
      <c r="BE4" s="514"/>
      <c r="BF4" s="517"/>
      <c r="BG4" s="516"/>
      <c r="BH4" s="514"/>
      <c r="BI4" s="514"/>
      <c r="BJ4" s="514"/>
      <c r="BK4" s="514"/>
      <c r="BL4" s="514"/>
      <c r="BM4" s="514"/>
      <c r="BN4" s="514"/>
      <c r="BO4" s="514"/>
      <c r="BP4" s="514"/>
      <c r="BQ4" s="514"/>
      <c r="BR4" s="514"/>
      <c r="BS4" s="517"/>
    </row>
    <row r="5" spans="1:71" ht="16.8" thickBot="1">
      <c r="A5" s="512" t="s">
        <v>629</v>
      </c>
      <c r="D5" s="514"/>
      <c r="E5" s="514"/>
      <c r="F5" s="514"/>
      <c r="G5" s="514"/>
      <c r="H5" s="514"/>
      <c r="I5" s="514"/>
      <c r="J5" s="514"/>
      <c r="K5" s="514"/>
      <c r="L5" s="514"/>
      <c r="M5" s="514"/>
      <c r="N5" s="514"/>
      <c r="O5" s="514"/>
      <c r="P5" s="514"/>
      <c r="Q5" s="517"/>
      <c r="R5" s="514"/>
      <c r="S5" s="514"/>
      <c r="T5" s="514"/>
      <c r="U5" s="514"/>
      <c r="V5" s="514"/>
      <c r="W5" s="514"/>
      <c r="X5" s="514"/>
      <c r="Y5" s="514"/>
      <c r="Z5" s="514"/>
      <c r="AA5" s="514"/>
      <c r="AB5" s="514"/>
      <c r="AC5" s="514"/>
      <c r="AD5" s="514"/>
      <c r="AE5" s="517"/>
      <c r="AF5" s="514"/>
      <c r="AG5" s="514"/>
      <c r="AH5" s="514"/>
      <c r="AI5" s="514"/>
      <c r="AJ5" s="514"/>
      <c r="AK5" s="514"/>
      <c r="AL5" s="514"/>
      <c r="AM5" s="514"/>
      <c r="AN5" s="514"/>
      <c r="AO5" s="514"/>
      <c r="AP5" s="514"/>
      <c r="AQ5" s="514"/>
      <c r="AR5" s="514"/>
      <c r="AS5" s="517"/>
      <c r="AT5" s="514"/>
      <c r="AU5" s="514"/>
      <c r="AV5" s="514"/>
      <c r="AW5" s="514"/>
      <c r="AX5" s="514"/>
      <c r="AY5" s="514"/>
      <c r="AZ5" s="514"/>
      <c r="BA5" s="514"/>
      <c r="BB5" s="514"/>
      <c r="BC5" s="514"/>
      <c r="BD5" s="514"/>
      <c r="BE5" s="514"/>
      <c r="BF5" s="517"/>
      <c r="BG5" s="514"/>
      <c r="BH5" s="514"/>
      <c r="BI5" s="514"/>
      <c r="BJ5" s="514"/>
      <c r="BK5" s="514"/>
      <c r="BL5" s="514"/>
      <c r="BM5" s="514"/>
      <c r="BN5" s="514"/>
      <c r="BO5" s="514"/>
      <c r="BP5" s="514"/>
      <c r="BQ5" s="514"/>
      <c r="BR5" s="514"/>
      <c r="BS5" s="517"/>
    </row>
    <row r="6" spans="1:71" s="512" customFormat="1" ht="16.8" thickBot="1">
      <c r="D6" s="518" t="s">
        <v>307</v>
      </c>
      <c r="E6" s="519"/>
      <c r="F6" s="519"/>
      <c r="G6" s="519"/>
      <c r="H6" s="519"/>
      <c r="I6" s="519"/>
      <c r="J6" s="519"/>
      <c r="K6" s="519"/>
      <c r="L6" s="519"/>
      <c r="M6" s="519"/>
      <c r="N6" s="519"/>
      <c r="O6" s="519"/>
      <c r="P6" s="519"/>
      <c r="Q6" s="520"/>
      <c r="R6" s="518" t="s">
        <v>385</v>
      </c>
      <c r="S6" s="519"/>
      <c r="T6" s="519"/>
      <c r="U6" s="519"/>
      <c r="V6" s="519"/>
      <c r="W6" s="519"/>
      <c r="X6" s="519"/>
      <c r="Y6" s="519"/>
      <c r="Z6" s="519"/>
      <c r="AA6" s="519"/>
      <c r="AB6" s="519"/>
      <c r="AC6" s="519"/>
      <c r="AD6" s="519"/>
      <c r="AE6" s="520"/>
      <c r="AF6" s="518" t="s">
        <v>390</v>
      </c>
      <c r="AG6" s="519"/>
      <c r="AH6" s="519"/>
      <c r="AI6" s="519"/>
      <c r="AJ6" s="519"/>
      <c r="AK6" s="519"/>
      <c r="AL6" s="519"/>
      <c r="AM6" s="519"/>
      <c r="AN6" s="519"/>
      <c r="AO6" s="519"/>
      <c r="AP6" s="519"/>
      <c r="AQ6" s="519"/>
      <c r="AR6" s="519"/>
      <c r="AS6" s="520"/>
      <c r="AT6" s="518" t="s">
        <v>564</v>
      </c>
      <c r="AU6" s="519"/>
      <c r="AV6" s="519"/>
      <c r="AW6" s="519"/>
      <c r="AX6" s="519"/>
      <c r="AY6" s="519"/>
      <c r="AZ6" s="519"/>
      <c r="BA6" s="519"/>
      <c r="BB6" s="519"/>
      <c r="BC6" s="519"/>
      <c r="BD6" s="519"/>
      <c r="BE6" s="519"/>
      <c r="BF6" s="520"/>
      <c r="BG6" s="518" t="s">
        <v>565</v>
      </c>
      <c r="BH6" s="519"/>
      <c r="BI6" s="519"/>
      <c r="BJ6" s="519"/>
      <c r="BK6" s="519"/>
      <c r="BL6" s="519"/>
      <c r="BM6" s="519"/>
      <c r="BN6" s="519"/>
      <c r="BO6" s="519"/>
      <c r="BP6" s="519"/>
      <c r="BQ6" s="519"/>
      <c r="BR6" s="519"/>
      <c r="BS6" s="520"/>
    </row>
    <row r="7" spans="1:71" s="512" customFormat="1">
      <c r="A7" s="521"/>
      <c r="B7" s="522" t="s">
        <v>308</v>
      </c>
      <c r="C7" s="523" t="s">
        <v>309</v>
      </c>
      <c r="D7" s="524" t="s">
        <v>310</v>
      </c>
      <c r="E7" s="525" t="s">
        <v>311</v>
      </c>
      <c r="F7" s="525" t="s">
        <v>312</v>
      </c>
      <c r="G7" s="525" t="s">
        <v>313</v>
      </c>
      <c r="H7" s="525" t="s">
        <v>314</v>
      </c>
      <c r="I7" s="525" t="s">
        <v>315</v>
      </c>
      <c r="J7" s="525" t="s">
        <v>316</v>
      </c>
      <c r="K7" s="525" t="s">
        <v>317</v>
      </c>
      <c r="L7" s="525" t="s">
        <v>318</v>
      </c>
      <c r="M7" s="525" t="s">
        <v>319</v>
      </c>
      <c r="N7" s="525" t="s">
        <v>320</v>
      </c>
      <c r="O7" s="525" t="s">
        <v>321</v>
      </c>
      <c r="P7" s="525" t="s">
        <v>373</v>
      </c>
      <c r="Q7" s="526" t="s">
        <v>322</v>
      </c>
      <c r="R7" s="524" t="s">
        <v>310</v>
      </c>
      <c r="S7" s="525" t="s">
        <v>311</v>
      </c>
      <c r="T7" s="525" t="s">
        <v>312</v>
      </c>
      <c r="U7" s="525" t="s">
        <v>313</v>
      </c>
      <c r="V7" s="525" t="s">
        <v>314</v>
      </c>
      <c r="W7" s="525" t="s">
        <v>315</v>
      </c>
      <c r="X7" s="525" t="s">
        <v>316</v>
      </c>
      <c r="Y7" s="525" t="s">
        <v>317</v>
      </c>
      <c r="Z7" s="525" t="s">
        <v>318</v>
      </c>
      <c r="AA7" s="525" t="s">
        <v>319</v>
      </c>
      <c r="AB7" s="525" t="s">
        <v>320</v>
      </c>
      <c r="AC7" s="525" t="s">
        <v>321</v>
      </c>
      <c r="AD7" s="525" t="s">
        <v>457</v>
      </c>
      <c r="AE7" s="526" t="s">
        <v>384</v>
      </c>
      <c r="AF7" s="524" t="s">
        <v>310</v>
      </c>
      <c r="AG7" s="525" t="s">
        <v>311</v>
      </c>
      <c r="AH7" s="525" t="s">
        <v>312</v>
      </c>
      <c r="AI7" s="525" t="s">
        <v>313</v>
      </c>
      <c r="AJ7" s="525" t="s">
        <v>314</v>
      </c>
      <c r="AK7" s="525" t="s">
        <v>315</v>
      </c>
      <c r="AL7" s="525" t="s">
        <v>316</v>
      </c>
      <c r="AM7" s="525" t="s">
        <v>317</v>
      </c>
      <c r="AN7" s="525" t="s">
        <v>318</v>
      </c>
      <c r="AO7" s="525" t="s">
        <v>319</v>
      </c>
      <c r="AP7" s="525" t="s">
        <v>320</v>
      </c>
      <c r="AQ7" s="525" t="s">
        <v>321</v>
      </c>
      <c r="AR7" s="525" t="s">
        <v>494</v>
      </c>
      <c r="AS7" s="526" t="s">
        <v>391</v>
      </c>
      <c r="AT7" s="524" t="s">
        <v>310</v>
      </c>
      <c r="AU7" s="525" t="s">
        <v>311</v>
      </c>
      <c r="AV7" s="525" t="s">
        <v>312</v>
      </c>
      <c r="AW7" s="525" t="s">
        <v>313</v>
      </c>
      <c r="AX7" s="525" t="s">
        <v>314</v>
      </c>
      <c r="AY7" s="525" t="s">
        <v>315</v>
      </c>
      <c r="AZ7" s="525" t="s">
        <v>316</v>
      </c>
      <c r="BA7" s="525" t="s">
        <v>317</v>
      </c>
      <c r="BB7" s="525" t="s">
        <v>318</v>
      </c>
      <c r="BC7" s="525" t="s">
        <v>319</v>
      </c>
      <c r="BD7" s="525" t="s">
        <v>320</v>
      </c>
      <c r="BE7" s="525" t="s">
        <v>321</v>
      </c>
      <c r="BF7" s="526" t="s">
        <v>566</v>
      </c>
      <c r="BG7" s="524" t="s">
        <v>310</v>
      </c>
      <c r="BH7" s="525" t="s">
        <v>311</v>
      </c>
      <c r="BI7" s="525" t="s">
        <v>312</v>
      </c>
      <c r="BJ7" s="525" t="s">
        <v>313</v>
      </c>
      <c r="BK7" s="525" t="s">
        <v>314</v>
      </c>
      <c r="BL7" s="525" t="s">
        <v>315</v>
      </c>
      <c r="BM7" s="525" t="s">
        <v>316</v>
      </c>
      <c r="BN7" s="525" t="s">
        <v>317</v>
      </c>
      <c r="BO7" s="525" t="s">
        <v>318</v>
      </c>
      <c r="BP7" s="525" t="s">
        <v>319</v>
      </c>
      <c r="BQ7" s="525" t="s">
        <v>320</v>
      </c>
      <c r="BR7" s="525" t="s">
        <v>321</v>
      </c>
      <c r="BS7" s="526" t="s">
        <v>567</v>
      </c>
    </row>
    <row r="8" spans="1:71">
      <c r="A8" s="527"/>
      <c r="B8" s="528" t="s">
        <v>323</v>
      </c>
      <c r="C8" s="529" t="s">
        <v>239</v>
      </c>
      <c r="D8" s="530">
        <v>2514684.58</v>
      </c>
      <c r="E8" s="531">
        <v>2585935.42</v>
      </c>
      <c r="F8" s="531">
        <v>2598213.4700000002</v>
      </c>
      <c r="G8" s="531">
        <v>2610666.7900000005</v>
      </c>
      <c r="H8" s="531">
        <v>2623766.2699999996</v>
      </c>
      <c r="I8" s="531">
        <v>2623233.23</v>
      </c>
      <c r="J8" s="531">
        <v>2624069.0799999996</v>
      </c>
      <c r="K8" s="531">
        <v>2608026.16</v>
      </c>
      <c r="L8" s="531">
        <v>2705537.6700000009</v>
      </c>
      <c r="M8" s="531">
        <v>2676223.87</v>
      </c>
      <c r="N8" s="531">
        <v>2691995.0100000002</v>
      </c>
      <c r="O8" s="531">
        <v>2703259.57</v>
      </c>
      <c r="P8" s="531">
        <v>7242423.8799999952</v>
      </c>
      <c r="Q8" s="532">
        <v>38808035</v>
      </c>
      <c r="R8" s="530">
        <v>3096402.8099999996</v>
      </c>
      <c r="S8" s="531">
        <v>3194174</v>
      </c>
      <c r="T8" s="531">
        <v>3253494</v>
      </c>
      <c r="U8" s="531">
        <v>3270127</v>
      </c>
      <c r="V8" s="531">
        <v>3293032</v>
      </c>
      <c r="W8" s="531">
        <v>3279309</v>
      </c>
      <c r="X8" s="531">
        <v>3306120</v>
      </c>
      <c r="Y8" s="531">
        <v>3309274</v>
      </c>
      <c r="Z8" s="531">
        <v>3307565</v>
      </c>
      <c r="AA8" s="531">
        <v>3344939</v>
      </c>
      <c r="AB8" s="531">
        <v>3374836.9611499994</v>
      </c>
      <c r="AC8" s="531">
        <v>3508276</v>
      </c>
      <c r="AD8" s="531">
        <f t="shared" ref="AD8:AD20" si="0">AE8-R8-S8-T8-U8-V8-W8-X8-Y8-Z8-AA8-AB8-AC8</f>
        <v>2436195.2288499977</v>
      </c>
      <c r="AE8" s="532">
        <v>41973745</v>
      </c>
      <c r="AF8" s="530">
        <v>3396100</v>
      </c>
      <c r="AG8" s="531">
        <v>3389551</v>
      </c>
      <c r="AH8" s="531">
        <v>3395526</v>
      </c>
      <c r="AI8" s="531">
        <v>3698088</v>
      </c>
      <c r="AJ8" s="531">
        <v>3373340</v>
      </c>
      <c r="AK8" s="531">
        <v>3345594</v>
      </c>
      <c r="AL8" s="531">
        <v>3364332.5195340002</v>
      </c>
      <c r="AM8" s="531">
        <v>3393933</v>
      </c>
      <c r="AN8" s="531">
        <v>3403987</v>
      </c>
      <c r="AO8" s="531">
        <v>3400701</v>
      </c>
      <c r="AP8" s="531">
        <v>3432343.9626000039</v>
      </c>
      <c r="AQ8" s="531">
        <v>3394121.1704599983</v>
      </c>
      <c r="AR8" s="531">
        <f t="shared" ref="AR8:AR20" si="1">AS8-AF8-AG8-AH8-AI8-AJ8-AK8-AL8-AM8-AN8-AO8-AP8-AQ8</f>
        <v>-222240.6525940015</v>
      </c>
      <c r="AS8" s="532">
        <v>40765377</v>
      </c>
      <c r="AT8" s="530">
        <v>3298469</v>
      </c>
      <c r="AU8" s="531">
        <v>3287795</v>
      </c>
      <c r="AV8" s="531">
        <v>3309750</v>
      </c>
      <c r="AW8" s="531">
        <v>3319254</v>
      </c>
      <c r="AX8" s="531">
        <f>(BF8-AT8-AU8-AV8-AW8)/8</f>
        <v>3679490</v>
      </c>
      <c r="AY8" s="531">
        <f t="shared" ref="AY8:BE21" si="2">AX8</f>
        <v>3679490</v>
      </c>
      <c r="AZ8" s="531">
        <f t="shared" si="2"/>
        <v>3679490</v>
      </c>
      <c r="BA8" s="531">
        <f t="shared" si="2"/>
        <v>3679490</v>
      </c>
      <c r="BB8" s="531">
        <f t="shared" si="2"/>
        <v>3679490</v>
      </c>
      <c r="BC8" s="531">
        <f t="shared" si="2"/>
        <v>3679490</v>
      </c>
      <c r="BD8" s="531">
        <f t="shared" si="2"/>
        <v>3679490</v>
      </c>
      <c r="BE8" s="531">
        <f t="shared" si="2"/>
        <v>3679490</v>
      </c>
      <c r="BF8" s="532">
        <f>41906013+745175</f>
        <v>42651188</v>
      </c>
      <c r="BG8" s="530">
        <f>BS8/12</f>
        <v>3512842.0833333335</v>
      </c>
      <c r="BH8" s="531">
        <f>BG8</f>
        <v>3512842.0833333335</v>
      </c>
      <c r="BI8" s="531">
        <f t="shared" ref="BI8:BR8" si="3">BH8</f>
        <v>3512842.0833333335</v>
      </c>
      <c r="BJ8" s="531">
        <f t="shared" si="3"/>
        <v>3512842.0833333335</v>
      </c>
      <c r="BK8" s="531">
        <f t="shared" si="3"/>
        <v>3512842.0833333335</v>
      </c>
      <c r="BL8" s="531">
        <f t="shared" si="3"/>
        <v>3512842.0833333335</v>
      </c>
      <c r="BM8" s="531">
        <f t="shared" si="3"/>
        <v>3512842.0833333335</v>
      </c>
      <c r="BN8" s="531">
        <f t="shared" si="3"/>
        <v>3512842.0833333335</v>
      </c>
      <c r="BO8" s="531">
        <f t="shared" si="3"/>
        <v>3512842.0833333335</v>
      </c>
      <c r="BP8" s="531">
        <f t="shared" si="3"/>
        <v>3512842.0833333335</v>
      </c>
      <c r="BQ8" s="531">
        <f t="shared" si="3"/>
        <v>3512842.0833333335</v>
      </c>
      <c r="BR8" s="531">
        <f t="shared" si="3"/>
        <v>3512842.0833333335</v>
      </c>
      <c r="BS8" s="532">
        <v>42154105</v>
      </c>
    </row>
    <row r="9" spans="1:71">
      <c r="A9" s="527"/>
      <c r="B9" s="528" t="s">
        <v>324</v>
      </c>
      <c r="C9" s="529" t="s">
        <v>240</v>
      </c>
      <c r="D9" s="530">
        <v>70908.530000000013</v>
      </c>
      <c r="E9" s="531">
        <v>71142.87</v>
      </c>
      <c r="F9" s="531">
        <v>71926.489999999991</v>
      </c>
      <c r="G9" s="531">
        <v>72638.959999999992</v>
      </c>
      <c r="H9" s="531">
        <v>73684.23</v>
      </c>
      <c r="I9" s="531">
        <v>73887.580000000016</v>
      </c>
      <c r="J9" s="531">
        <v>73690.36</v>
      </c>
      <c r="K9" s="531">
        <v>85200.61</v>
      </c>
      <c r="L9" s="531">
        <v>74283.300000000017</v>
      </c>
      <c r="M9" s="531">
        <v>74077.56</v>
      </c>
      <c r="N9" s="531">
        <v>80722.499999999913</v>
      </c>
      <c r="O9" s="531">
        <v>74026.240000000005</v>
      </c>
      <c r="P9" s="531">
        <v>205623.77000000014</v>
      </c>
      <c r="Q9" s="532">
        <v>1101813</v>
      </c>
      <c r="R9" s="530">
        <v>76921</v>
      </c>
      <c r="S9" s="531">
        <v>98522</v>
      </c>
      <c r="T9" s="531">
        <v>114374</v>
      </c>
      <c r="U9" s="531">
        <v>107997</v>
      </c>
      <c r="V9" s="531">
        <v>106827</v>
      </c>
      <c r="W9" s="531">
        <v>131015</v>
      </c>
      <c r="X9" s="531">
        <v>123514</v>
      </c>
      <c r="Y9" s="531">
        <v>493480</v>
      </c>
      <c r="Z9" s="531">
        <v>130500.70996300009</v>
      </c>
      <c r="AA9" s="531">
        <v>122866</v>
      </c>
      <c r="AB9" s="531">
        <v>148769</v>
      </c>
      <c r="AC9" s="531">
        <v>223593</v>
      </c>
      <c r="AD9" s="531">
        <f t="shared" si="0"/>
        <v>-413973.70996300009</v>
      </c>
      <c r="AE9" s="532">
        <v>1464405</v>
      </c>
      <c r="AF9" s="530">
        <v>91742</v>
      </c>
      <c r="AG9" s="531">
        <v>105332</v>
      </c>
      <c r="AH9" s="531">
        <v>111813</v>
      </c>
      <c r="AI9" s="531">
        <v>115548</v>
      </c>
      <c r="AJ9" s="531">
        <v>118039</v>
      </c>
      <c r="AK9" s="531">
        <v>120018</v>
      </c>
      <c r="AL9" s="531">
        <v>122143.48611199998</v>
      </c>
      <c r="AM9" s="531">
        <v>125027</v>
      </c>
      <c r="AN9" s="531">
        <v>122260</v>
      </c>
      <c r="AO9" s="531">
        <v>841132</v>
      </c>
      <c r="AP9" s="531">
        <v>230209.57314999995</v>
      </c>
      <c r="AQ9" s="531">
        <v>197562.49096799997</v>
      </c>
      <c r="AR9" s="531">
        <f t="shared" si="1"/>
        <v>-930932.55022999994</v>
      </c>
      <c r="AS9" s="532">
        <v>1369894</v>
      </c>
      <c r="AT9" s="530">
        <v>85222</v>
      </c>
      <c r="AU9" s="531">
        <v>103794</v>
      </c>
      <c r="AV9" s="531">
        <v>306121</v>
      </c>
      <c r="AW9" s="531">
        <v>126974</v>
      </c>
      <c r="AX9" s="531">
        <f t="shared" ref="AX9:AX21" si="4">(BF9-AT9-AU9-AV9-AW9)/8</f>
        <v>15307.75</v>
      </c>
      <c r="AY9" s="531">
        <f t="shared" si="2"/>
        <v>15307.75</v>
      </c>
      <c r="AZ9" s="531">
        <f t="shared" si="2"/>
        <v>15307.75</v>
      </c>
      <c r="BA9" s="531">
        <f t="shared" si="2"/>
        <v>15307.75</v>
      </c>
      <c r="BB9" s="531">
        <f t="shared" si="2"/>
        <v>15307.75</v>
      </c>
      <c r="BC9" s="531">
        <f t="shared" si="2"/>
        <v>15307.75</v>
      </c>
      <c r="BD9" s="531">
        <f t="shared" si="2"/>
        <v>15307.75</v>
      </c>
      <c r="BE9" s="531">
        <f t="shared" si="2"/>
        <v>15307.75</v>
      </c>
      <c r="BF9" s="532">
        <v>744573</v>
      </c>
      <c r="BG9" s="530">
        <f t="shared" ref="BG9:BG21" si="5">BS9/12</f>
        <v>133366.91666666666</v>
      </c>
      <c r="BH9" s="531">
        <f t="shared" ref="BH9:BR21" si="6">BG9</f>
        <v>133366.91666666666</v>
      </c>
      <c r="BI9" s="531">
        <f t="shared" si="6"/>
        <v>133366.91666666666</v>
      </c>
      <c r="BJ9" s="531">
        <f t="shared" si="6"/>
        <v>133366.91666666666</v>
      </c>
      <c r="BK9" s="531">
        <f t="shared" si="6"/>
        <v>133366.91666666666</v>
      </c>
      <c r="BL9" s="531">
        <f t="shared" si="6"/>
        <v>133366.91666666666</v>
      </c>
      <c r="BM9" s="531">
        <f t="shared" si="6"/>
        <v>133366.91666666666</v>
      </c>
      <c r="BN9" s="531">
        <f t="shared" si="6"/>
        <v>133366.91666666666</v>
      </c>
      <c r="BO9" s="531">
        <f t="shared" si="6"/>
        <v>133366.91666666666</v>
      </c>
      <c r="BP9" s="531">
        <f t="shared" si="6"/>
        <v>133366.91666666666</v>
      </c>
      <c r="BQ9" s="531">
        <f t="shared" si="6"/>
        <v>133366.91666666666</v>
      </c>
      <c r="BR9" s="531">
        <f t="shared" si="6"/>
        <v>133366.91666666666</v>
      </c>
      <c r="BS9" s="532">
        <v>1600403</v>
      </c>
    </row>
    <row r="10" spans="1:71">
      <c r="A10" s="527"/>
      <c r="B10" s="528" t="s">
        <v>325</v>
      </c>
      <c r="C10" s="529" t="s">
        <v>241</v>
      </c>
      <c r="D10" s="530">
        <v>0</v>
      </c>
      <c r="E10" s="531">
        <v>0</v>
      </c>
      <c r="F10" s="531">
        <v>3200.0000000000005</v>
      </c>
      <c r="G10" s="531">
        <v>0</v>
      </c>
      <c r="H10" s="531">
        <v>0</v>
      </c>
      <c r="I10" s="531">
        <v>0</v>
      </c>
      <c r="J10" s="531">
        <v>0</v>
      </c>
      <c r="K10" s="531">
        <v>140.95999999999998</v>
      </c>
      <c r="L10" s="531">
        <v>5348.4000000000005</v>
      </c>
      <c r="M10" s="531">
        <v>7772.24</v>
      </c>
      <c r="N10" s="531">
        <v>15221.599999999997</v>
      </c>
      <c r="O10" s="531">
        <v>4829.08</v>
      </c>
      <c r="P10" s="531">
        <v>34931.72</v>
      </c>
      <c r="Q10" s="532">
        <v>71444</v>
      </c>
      <c r="R10" s="530">
        <v>0</v>
      </c>
      <c r="S10" s="531">
        <v>0</v>
      </c>
      <c r="T10" s="531">
        <v>0</v>
      </c>
      <c r="U10" s="531">
        <v>2500</v>
      </c>
      <c r="V10" s="531">
        <v>0</v>
      </c>
      <c r="W10" s="531">
        <v>0</v>
      </c>
      <c r="X10" s="531">
        <v>0</v>
      </c>
      <c r="Y10" s="531">
        <v>4937</v>
      </c>
      <c r="Z10" s="531">
        <v>2060</v>
      </c>
      <c r="AA10" s="531">
        <v>616</v>
      </c>
      <c r="AB10" s="531">
        <v>834.2800000000002</v>
      </c>
      <c r="AC10" s="531">
        <v>25</v>
      </c>
      <c r="AD10" s="531">
        <f t="shared" si="0"/>
        <v>21032.720000000001</v>
      </c>
      <c r="AE10" s="532">
        <v>32005</v>
      </c>
      <c r="AF10" s="530">
        <v>0</v>
      </c>
      <c r="AG10" s="531">
        <v>0</v>
      </c>
      <c r="AH10" s="531">
        <v>0</v>
      </c>
      <c r="AI10" s="531">
        <v>0</v>
      </c>
      <c r="AJ10" s="531">
        <v>0</v>
      </c>
      <c r="AK10" s="531">
        <v>0</v>
      </c>
      <c r="AL10" s="531">
        <v>0</v>
      </c>
      <c r="AM10" s="531">
        <v>0</v>
      </c>
      <c r="AN10" s="531">
        <v>0</v>
      </c>
      <c r="AO10" s="531">
        <v>0</v>
      </c>
      <c r="AP10" s="531">
        <v>15.970000000000002</v>
      </c>
      <c r="AQ10" s="531">
        <v>0</v>
      </c>
      <c r="AR10" s="531">
        <f t="shared" si="1"/>
        <v>3734.03</v>
      </c>
      <c r="AS10" s="532">
        <v>3750</v>
      </c>
      <c r="AT10" s="530">
        <v>0</v>
      </c>
      <c r="AU10" s="531">
        <v>400</v>
      </c>
      <c r="AV10" s="531">
        <v>0</v>
      </c>
      <c r="AW10" s="531">
        <v>0</v>
      </c>
      <c r="AX10" s="531">
        <f t="shared" si="4"/>
        <v>-50</v>
      </c>
      <c r="AY10" s="531">
        <f t="shared" si="2"/>
        <v>-50</v>
      </c>
      <c r="AZ10" s="531">
        <f t="shared" si="2"/>
        <v>-50</v>
      </c>
      <c r="BA10" s="531">
        <f t="shared" si="2"/>
        <v>-50</v>
      </c>
      <c r="BB10" s="531">
        <f t="shared" si="2"/>
        <v>-50</v>
      </c>
      <c r="BC10" s="531">
        <f t="shared" si="2"/>
        <v>-50</v>
      </c>
      <c r="BD10" s="531">
        <f t="shared" si="2"/>
        <v>-50</v>
      </c>
      <c r="BE10" s="531">
        <f t="shared" si="2"/>
        <v>-50</v>
      </c>
      <c r="BF10" s="532">
        <v>0</v>
      </c>
      <c r="BG10" s="530">
        <f t="shared" si="5"/>
        <v>2314.1666666666665</v>
      </c>
      <c r="BH10" s="531">
        <f t="shared" si="6"/>
        <v>2314.1666666666665</v>
      </c>
      <c r="BI10" s="531">
        <f t="shared" si="6"/>
        <v>2314.1666666666665</v>
      </c>
      <c r="BJ10" s="531">
        <f t="shared" si="6"/>
        <v>2314.1666666666665</v>
      </c>
      <c r="BK10" s="531">
        <f t="shared" si="6"/>
        <v>2314.1666666666665</v>
      </c>
      <c r="BL10" s="531">
        <f t="shared" si="6"/>
        <v>2314.1666666666665</v>
      </c>
      <c r="BM10" s="531">
        <f t="shared" si="6"/>
        <v>2314.1666666666665</v>
      </c>
      <c r="BN10" s="531">
        <f t="shared" si="6"/>
        <v>2314.1666666666665</v>
      </c>
      <c r="BO10" s="531">
        <f t="shared" si="6"/>
        <v>2314.1666666666665</v>
      </c>
      <c r="BP10" s="531">
        <f t="shared" si="6"/>
        <v>2314.1666666666665</v>
      </c>
      <c r="BQ10" s="531">
        <f t="shared" si="6"/>
        <v>2314.1666666666665</v>
      </c>
      <c r="BR10" s="531">
        <f t="shared" si="6"/>
        <v>2314.1666666666665</v>
      </c>
      <c r="BS10" s="532">
        <v>27770</v>
      </c>
    </row>
    <row r="11" spans="1:71">
      <c r="A11" s="527"/>
      <c r="B11" s="528" t="s">
        <v>326</v>
      </c>
      <c r="C11" s="529" t="s">
        <v>242</v>
      </c>
      <c r="D11" s="530"/>
      <c r="E11" s="531"/>
      <c r="F11" s="531"/>
      <c r="G11" s="531"/>
      <c r="H11" s="531"/>
      <c r="I11" s="531"/>
      <c r="J11" s="531"/>
      <c r="K11" s="531"/>
      <c r="L11" s="531"/>
      <c r="M11" s="531"/>
      <c r="N11" s="531"/>
      <c r="O11" s="531"/>
      <c r="P11" s="531">
        <v>0</v>
      </c>
      <c r="Q11" s="532">
        <v>0</v>
      </c>
      <c r="R11" s="530">
        <v>0</v>
      </c>
      <c r="S11" s="531">
        <v>0</v>
      </c>
      <c r="T11" s="531">
        <v>0</v>
      </c>
      <c r="U11" s="531">
        <v>0</v>
      </c>
      <c r="V11" s="531">
        <v>0</v>
      </c>
      <c r="W11" s="531">
        <v>0</v>
      </c>
      <c r="X11" s="531">
        <v>0</v>
      </c>
      <c r="Y11" s="531">
        <v>0</v>
      </c>
      <c r="Z11" s="531">
        <v>0</v>
      </c>
      <c r="AA11" s="531">
        <v>0</v>
      </c>
      <c r="AB11" s="531">
        <v>0</v>
      </c>
      <c r="AC11" s="531">
        <v>0</v>
      </c>
      <c r="AD11" s="531">
        <f t="shared" si="0"/>
        <v>0</v>
      </c>
      <c r="AE11" s="532"/>
      <c r="AF11" s="530">
        <v>0</v>
      </c>
      <c r="AG11" s="531">
        <f t="shared" ref="AG11:AG20" si="7">(AS11-AF11)/11</f>
        <v>0</v>
      </c>
      <c r="AH11" s="531">
        <v>0</v>
      </c>
      <c r="AI11" s="531">
        <v>0</v>
      </c>
      <c r="AJ11" s="531">
        <f t="shared" ref="AJ11:AJ20" si="8">(AS11-AF11-AG11-AH11-AI11)/8</f>
        <v>0</v>
      </c>
      <c r="AK11" s="531">
        <f t="shared" ref="AK11:AK20" si="9">(AS11-AF11-AG11-AH11-AI11-AJ11)/7</f>
        <v>0</v>
      </c>
      <c r="AL11" s="531">
        <v>0</v>
      </c>
      <c r="AM11" s="531">
        <f t="shared" ref="AM11:AM20" si="10">(AS11-AF11-AG11-AH11-AI11-AJ11-AK11-AL11)/5</f>
        <v>0</v>
      </c>
      <c r="AN11" s="531">
        <v>0</v>
      </c>
      <c r="AO11" s="531">
        <v>0</v>
      </c>
      <c r="AP11" s="531">
        <v>0</v>
      </c>
      <c r="AQ11" s="531">
        <v>0</v>
      </c>
      <c r="AR11" s="531">
        <f t="shared" si="1"/>
        <v>0</v>
      </c>
      <c r="AS11" s="532"/>
      <c r="AT11" s="530">
        <v>0</v>
      </c>
      <c r="AU11" s="531">
        <f t="shared" ref="AU11:AU20" si="11">(BF11-AT11)/11</f>
        <v>0</v>
      </c>
      <c r="AV11" s="531">
        <f t="shared" ref="AV11:AV20" si="12">(BF11-AT11-AU11)/10</f>
        <v>0</v>
      </c>
      <c r="AW11" s="531">
        <f t="shared" ref="AW11:AW20" si="13">(BF11-AT11-AU11-AV11)/9</f>
        <v>0</v>
      </c>
      <c r="AX11" s="531">
        <f t="shared" si="4"/>
        <v>0</v>
      </c>
      <c r="AY11" s="531">
        <f t="shared" si="2"/>
        <v>0</v>
      </c>
      <c r="AZ11" s="531">
        <f t="shared" si="2"/>
        <v>0</v>
      </c>
      <c r="BA11" s="531">
        <f t="shared" si="2"/>
        <v>0</v>
      </c>
      <c r="BB11" s="531">
        <f t="shared" si="2"/>
        <v>0</v>
      </c>
      <c r="BC11" s="531">
        <f t="shared" si="2"/>
        <v>0</v>
      </c>
      <c r="BD11" s="531">
        <f t="shared" si="2"/>
        <v>0</v>
      </c>
      <c r="BE11" s="531">
        <f t="shared" si="2"/>
        <v>0</v>
      </c>
      <c r="BF11" s="532">
        <v>0</v>
      </c>
      <c r="BG11" s="530">
        <f t="shared" si="5"/>
        <v>0</v>
      </c>
      <c r="BH11" s="531">
        <f t="shared" si="6"/>
        <v>0</v>
      </c>
      <c r="BI11" s="531">
        <f t="shared" si="6"/>
        <v>0</v>
      </c>
      <c r="BJ11" s="531">
        <f t="shared" si="6"/>
        <v>0</v>
      </c>
      <c r="BK11" s="531">
        <f t="shared" si="6"/>
        <v>0</v>
      </c>
      <c r="BL11" s="531">
        <f t="shared" si="6"/>
        <v>0</v>
      </c>
      <c r="BM11" s="531">
        <f t="shared" si="6"/>
        <v>0</v>
      </c>
      <c r="BN11" s="531">
        <f t="shared" si="6"/>
        <v>0</v>
      </c>
      <c r="BO11" s="531">
        <f t="shared" si="6"/>
        <v>0</v>
      </c>
      <c r="BP11" s="531">
        <f t="shared" si="6"/>
        <v>0</v>
      </c>
      <c r="BQ11" s="531">
        <f t="shared" si="6"/>
        <v>0</v>
      </c>
      <c r="BR11" s="531">
        <f t="shared" si="6"/>
        <v>0</v>
      </c>
      <c r="BS11" s="532">
        <v>0</v>
      </c>
    </row>
    <row r="12" spans="1:71">
      <c r="A12" s="527"/>
      <c r="B12" s="528" t="s">
        <v>327</v>
      </c>
      <c r="C12" s="529" t="s">
        <v>243</v>
      </c>
      <c r="D12" s="530">
        <v>0</v>
      </c>
      <c r="E12" s="531">
        <v>0</v>
      </c>
      <c r="F12" s="531">
        <v>1676.1100000000001</v>
      </c>
      <c r="G12" s="531">
        <v>0</v>
      </c>
      <c r="H12" s="531">
        <v>0</v>
      </c>
      <c r="I12" s="531">
        <v>4381.26</v>
      </c>
      <c r="J12" s="531">
        <v>709.62</v>
      </c>
      <c r="K12" s="531">
        <v>72.820000000000007</v>
      </c>
      <c r="L12" s="531">
        <v>1323.3</v>
      </c>
      <c r="M12" s="531">
        <v>160.37</v>
      </c>
      <c r="N12" s="531">
        <v>402.74999999999977</v>
      </c>
      <c r="O12" s="531">
        <v>845.73</v>
      </c>
      <c r="P12" s="531">
        <v>2154.0399999999991</v>
      </c>
      <c r="Q12" s="532">
        <v>11726</v>
      </c>
      <c r="R12" s="530">
        <v>717</v>
      </c>
      <c r="S12" s="531">
        <v>2436</v>
      </c>
      <c r="T12" s="531">
        <v>935</v>
      </c>
      <c r="U12" s="531">
        <v>495</v>
      </c>
      <c r="V12" s="531">
        <v>4962</v>
      </c>
      <c r="W12" s="531">
        <v>1502</v>
      </c>
      <c r="X12" s="531">
        <v>1338</v>
      </c>
      <c r="Y12" s="531">
        <v>37830</v>
      </c>
      <c r="Z12" s="531">
        <v>27540</v>
      </c>
      <c r="AA12" s="531">
        <v>25731</v>
      </c>
      <c r="AB12" s="531">
        <v>24100.153194000002</v>
      </c>
      <c r="AC12" s="531">
        <v>20842</v>
      </c>
      <c r="AD12" s="531">
        <f t="shared" si="0"/>
        <v>-139069.15319400001</v>
      </c>
      <c r="AE12" s="532">
        <v>9359</v>
      </c>
      <c r="AF12" s="530">
        <v>3522</v>
      </c>
      <c r="AG12" s="531">
        <v>13607</v>
      </c>
      <c r="AH12" s="531"/>
      <c r="AI12" s="531">
        <v>2182</v>
      </c>
      <c r="AJ12" s="531">
        <v>-342</v>
      </c>
      <c r="AK12" s="531">
        <v>5367</v>
      </c>
      <c r="AL12" s="531">
        <v>2572.9738820000002</v>
      </c>
      <c r="AM12" s="531">
        <v>859</v>
      </c>
      <c r="AN12" s="531">
        <v>-488</v>
      </c>
      <c r="AO12" s="531">
        <v>13310</v>
      </c>
      <c r="AP12" s="531">
        <v>0</v>
      </c>
      <c r="AQ12" s="531"/>
      <c r="AR12" s="531">
        <f t="shared" si="1"/>
        <v>-36172.973881999998</v>
      </c>
      <c r="AS12" s="532">
        <v>4417</v>
      </c>
      <c r="AT12" s="530">
        <v>26</v>
      </c>
      <c r="AU12" s="531">
        <v>336</v>
      </c>
      <c r="AV12" s="531">
        <v>1409</v>
      </c>
      <c r="AW12" s="531">
        <v>679</v>
      </c>
      <c r="AX12" s="531">
        <f t="shared" si="4"/>
        <v>2053.125</v>
      </c>
      <c r="AY12" s="531">
        <f t="shared" si="2"/>
        <v>2053.125</v>
      </c>
      <c r="AZ12" s="531">
        <f t="shared" si="2"/>
        <v>2053.125</v>
      </c>
      <c r="BA12" s="531">
        <f t="shared" si="2"/>
        <v>2053.125</v>
      </c>
      <c r="BB12" s="531">
        <f t="shared" si="2"/>
        <v>2053.125</v>
      </c>
      <c r="BC12" s="531">
        <f t="shared" si="2"/>
        <v>2053.125</v>
      </c>
      <c r="BD12" s="531">
        <f t="shared" si="2"/>
        <v>2053.125</v>
      </c>
      <c r="BE12" s="531">
        <f t="shared" si="2"/>
        <v>2053.125</v>
      </c>
      <c r="BF12" s="532">
        <v>18875</v>
      </c>
      <c r="BG12" s="530">
        <f t="shared" si="5"/>
        <v>675.91666666666663</v>
      </c>
      <c r="BH12" s="531">
        <f t="shared" si="6"/>
        <v>675.91666666666663</v>
      </c>
      <c r="BI12" s="531">
        <f t="shared" si="6"/>
        <v>675.91666666666663</v>
      </c>
      <c r="BJ12" s="531">
        <f t="shared" si="6"/>
        <v>675.91666666666663</v>
      </c>
      <c r="BK12" s="531">
        <f t="shared" si="6"/>
        <v>675.91666666666663</v>
      </c>
      <c r="BL12" s="531">
        <f t="shared" si="6"/>
        <v>675.91666666666663</v>
      </c>
      <c r="BM12" s="531">
        <f t="shared" si="6"/>
        <v>675.91666666666663</v>
      </c>
      <c r="BN12" s="531">
        <f t="shared" si="6"/>
        <v>675.91666666666663</v>
      </c>
      <c r="BO12" s="531">
        <f t="shared" si="6"/>
        <v>675.91666666666663</v>
      </c>
      <c r="BP12" s="531">
        <f t="shared" si="6"/>
        <v>675.91666666666663</v>
      </c>
      <c r="BQ12" s="531">
        <f t="shared" si="6"/>
        <v>675.91666666666663</v>
      </c>
      <c r="BR12" s="531">
        <f t="shared" si="6"/>
        <v>675.91666666666663</v>
      </c>
      <c r="BS12" s="532">
        <v>8111</v>
      </c>
    </row>
    <row r="13" spans="1:71">
      <c r="A13" s="527"/>
      <c r="B13" s="528" t="s">
        <v>328</v>
      </c>
      <c r="C13" s="529" t="s">
        <v>244</v>
      </c>
      <c r="D13" s="530">
        <v>0</v>
      </c>
      <c r="E13" s="531">
        <v>0</v>
      </c>
      <c r="F13" s="531">
        <v>0</v>
      </c>
      <c r="G13" s="531">
        <v>0</v>
      </c>
      <c r="H13" s="531">
        <v>0</v>
      </c>
      <c r="I13" s="531">
        <v>159.06</v>
      </c>
      <c r="J13" s="531">
        <v>0</v>
      </c>
      <c r="K13" s="531">
        <v>0</v>
      </c>
      <c r="L13" s="531">
        <v>0</v>
      </c>
      <c r="M13" s="531">
        <v>0</v>
      </c>
      <c r="N13" s="531">
        <v>0</v>
      </c>
      <c r="O13" s="531">
        <v>0</v>
      </c>
      <c r="P13" s="531">
        <v>35.94</v>
      </c>
      <c r="Q13" s="532">
        <v>195</v>
      </c>
      <c r="R13" s="530">
        <v>0</v>
      </c>
      <c r="S13" s="531">
        <v>62689</v>
      </c>
      <c r="T13" s="531">
        <v>8209</v>
      </c>
      <c r="U13" s="531">
        <v>36440</v>
      </c>
      <c r="V13" s="531">
        <v>78169</v>
      </c>
      <c r="W13" s="531">
        <v>5712</v>
      </c>
      <c r="X13" s="531">
        <v>44241</v>
      </c>
      <c r="Y13" s="531">
        <v>84119</v>
      </c>
      <c r="Z13" s="531">
        <v>55628.523976999968</v>
      </c>
      <c r="AA13" s="531">
        <v>29066</v>
      </c>
      <c r="AB13" s="531">
        <v>54875.414564000021</v>
      </c>
      <c r="AC13" s="531">
        <v>1312</v>
      </c>
      <c r="AD13" s="531">
        <f t="shared" si="0"/>
        <v>95611.061459000004</v>
      </c>
      <c r="AE13" s="532">
        <v>556072</v>
      </c>
      <c r="AF13" s="530">
        <v>48501</v>
      </c>
      <c r="AG13" s="531">
        <v>42643</v>
      </c>
      <c r="AH13" s="531">
        <v>1186</v>
      </c>
      <c r="AI13" s="531">
        <v>1785</v>
      </c>
      <c r="AJ13" s="531">
        <v>951</v>
      </c>
      <c r="AK13" s="531">
        <v>151614</v>
      </c>
      <c r="AL13" s="531">
        <v>145021.64107200009</v>
      </c>
      <c r="AM13" s="531">
        <v>14426</v>
      </c>
      <c r="AN13" s="531">
        <v>1972</v>
      </c>
      <c r="AO13" s="531">
        <v>997</v>
      </c>
      <c r="AP13" s="531">
        <v>6206.0076500000032</v>
      </c>
      <c r="AQ13" s="531">
        <v>3271.9028920000005</v>
      </c>
      <c r="AR13" s="531">
        <f t="shared" si="1"/>
        <v>197282.44838599989</v>
      </c>
      <c r="AS13" s="532">
        <v>615857</v>
      </c>
      <c r="AT13" s="530">
        <v>42836</v>
      </c>
      <c r="AU13" s="531">
        <v>77143</v>
      </c>
      <c r="AV13" s="531">
        <v>4701</v>
      </c>
      <c r="AW13" s="531">
        <v>33107</v>
      </c>
      <c r="AX13" s="531">
        <f t="shared" si="4"/>
        <v>-19723.375</v>
      </c>
      <c r="AY13" s="531">
        <f t="shared" si="2"/>
        <v>-19723.375</v>
      </c>
      <c r="AZ13" s="531">
        <f t="shared" si="2"/>
        <v>-19723.375</v>
      </c>
      <c r="BA13" s="531">
        <f t="shared" si="2"/>
        <v>-19723.375</v>
      </c>
      <c r="BB13" s="531">
        <f t="shared" si="2"/>
        <v>-19723.375</v>
      </c>
      <c r="BC13" s="531">
        <f t="shared" si="2"/>
        <v>-19723.375</v>
      </c>
      <c r="BD13" s="531">
        <f t="shared" si="2"/>
        <v>-19723.375</v>
      </c>
      <c r="BE13" s="531">
        <f t="shared" si="2"/>
        <v>-19723.375</v>
      </c>
      <c r="BF13" s="532">
        <v>0</v>
      </c>
      <c r="BG13" s="530">
        <f t="shared" si="5"/>
        <v>56938</v>
      </c>
      <c r="BH13" s="531">
        <f t="shared" si="6"/>
        <v>56938</v>
      </c>
      <c r="BI13" s="531">
        <f t="shared" si="6"/>
        <v>56938</v>
      </c>
      <c r="BJ13" s="531">
        <f t="shared" si="6"/>
        <v>56938</v>
      </c>
      <c r="BK13" s="531">
        <f t="shared" si="6"/>
        <v>56938</v>
      </c>
      <c r="BL13" s="531">
        <f t="shared" si="6"/>
        <v>56938</v>
      </c>
      <c r="BM13" s="531">
        <f t="shared" si="6"/>
        <v>56938</v>
      </c>
      <c r="BN13" s="531">
        <f t="shared" si="6"/>
        <v>56938</v>
      </c>
      <c r="BO13" s="531">
        <f t="shared" si="6"/>
        <v>56938</v>
      </c>
      <c r="BP13" s="531">
        <f t="shared" si="6"/>
        <v>56938</v>
      </c>
      <c r="BQ13" s="531">
        <f t="shared" si="6"/>
        <v>56938</v>
      </c>
      <c r="BR13" s="531">
        <f t="shared" si="6"/>
        <v>56938</v>
      </c>
      <c r="BS13" s="532">
        <v>683256</v>
      </c>
    </row>
    <row r="14" spans="1:71">
      <c r="A14" s="527"/>
      <c r="B14" s="528" t="s">
        <v>329</v>
      </c>
      <c r="C14" s="529" t="s">
        <v>245</v>
      </c>
      <c r="D14" s="530">
        <v>10251.450000000001</v>
      </c>
      <c r="E14" s="531">
        <v>272119.55999999994</v>
      </c>
      <c r="F14" s="531">
        <v>377915.17</v>
      </c>
      <c r="G14" s="531">
        <v>273906.84999999998</v>
      </c>
      <c r="H14" s="531">
        <v>298322.75</v>
      </c>
      <c r="I14" s="531">
        <v>353873.03</v>
      </c>
      <c r="J14" s="531">
        <v>310998.76</v>
      </c>
      <c r="K14" s="531">
        <v>266811.94999999995</v>
      </c>
      <c r="L14" s="531">
        <v>309740.27</v>
      </c>
      <c r="M14" s="531">
        <v>285202.7</v>
      </c>
      <c r="N14" s="531">
        <v>332965.12</v>
      </c>
      <c r="O14" s="531">
        <v>340273.06</v>
      </c>
      <c r="P14" s="531">
        <v>1877530.33</v>
      </c>
      <c r="Q14" s="532">
        <v>5309911</v>
      </c>
      <c r="R14" s="530">
        <v>12750</v>
      </c>
      <c r="S14" s="531">
        <v>260411</v>
      </c>
      <c r="T14" s="531">
        <v>337299</v>
      </c>
      <c r="U14" s="531">
        <v>401627</v>
      </c>
      <c r="V14" s="531">
        <v>343314</v>
      </c>
      <c r="W14" s="531">
        <v>304494</v>
      </c>
      <c r="X14" s="531">
        <v>345306</v>
      </c>
      <c r="Y14" s="531">
        <v>210024</v>
      </c>
      <c r="Z14" s="531">
        <v>61369.406913999992</v>
      </c>
      <c r="AA14" s="531">
        <v>58285</v>
      </c>
      <c r="AB14" s="531">
        <v>69631.953744000231</v>
      </c>
      <c r="AC14" s="531">
        <v>54301</v>
      </c>
      <c r="AD14" s="531">
        <f t="shared" si="0"/>
        <v>1106252.6393419998</v>
      </c>
      <c r="AE14" s="532">
        <v>3565065</v>
      </c>
      <c r="AF14" s="530">
        <v>875</v>
      </c>
      <c r="AG14" s="531">
        <v>90503</v>
      </c>
      <c r="AH14" s="531">
        <v>85737</v>
      </c>
      <c r="AI14" s="531">
        <v>97639</v>
      </c>
      <c r="AJ14" s="531">
        <v>90751</v>
      </c>
      <c r="AK14" s="531">
        <v>72029</v>
      </c>
      <c r="AL14" s="531">
        <v>81798.010691999938</v>
      </c>
      <c r="AM14" s="531">
        <v>119120</v>
      </c>
      <c r="AN14" s="531">
        <v>117514</v>
      </c>
      <c r="AO14" s="531">
        <v>137475</v>
      </c>
      <c r="AP14" s="531">
        <v>63455.167800000061</v>
      </c>
      <c r="AQ14" s="531">
        <v>1547.1624000000002</v>
      </c>
      <c r="AR14" s="531">
        <f t="shared" si="1"/>
        <v>3755648.6591079999</v>
      </c>
      <c r="AS14" s="532">
        <v>4714092</v>
      </c>
      <c r="AT14" s="530">
        <v>5471</v>
      </c>
      <c r="AU14" s="531">
        <f>217502-168122</f>
        <v>49380</v>
      </c>
      <c r="AV14" s="531">
        <f>358933-96038</f>
        <v>262895</v>
      </c>
      <c r="AW14" s="531">
        <v>349692</v>
      </c>
      <c r="AX14" s="531">
        <f t="shared" si="4"/>
        <v>332912.125</v>
      </c>
      <c r="AY14" s="531">
        <f t="shared" si="2"/>
        <v>332912.125</v>
      </c>
      <c r="AZ14" s="531">
        <f t="shared" si="2"/>
        <v>332912.125</v>
      </c>
      <c r="BA14" s="531">
        <f t="shared" si="2"/>
        <v>332912.125</v>
      </c>
      <c r="BB14" s="531">
        <f t="shared" si="2"/>
        <v>332912.125</v>
      </c>
      <c r="BC14" s="531">
        <f t="shared" si="2"/>
        <v>332912.125</v>
      </c>
      <c r="BD14" s="531">
        <f t="shared" si="2"/>
        <v>332912.125</v>
      </c>
      <c r="BE14" s="531">
        <f t="shared" si="2"/>
        <v>332912.125</v>
      </c>
      <c r="BF14" s="532">
        <v>3330735</v>
      </c>
      <c r="BG14" s="530">
        <f t="shared" si="5"/>
        <v>294608.16666666669</v>
      </c>
      <c r="BH14" s="531">
        <f t="shared" si="6"/>
        <v>294608.16666666669</v>
      </c>
      <c r="BI14" s="531">
        <f t="shared" si="6"/>
        <v>294608.16666666669</v>
      </c>
      <c r="BJ14" s="531">
        <f t="shared" si="6"/>
        <v>294608.16666666669</v>
      </c>
      <c r="BK14" s="531">
        <f t="shared" si="6"/>
        <v>294608.16666666669</v>
      </c>
      <c r="BL14" s="531">
        <f t="shared" si="6"/>
        <v>294608.16666666669</v>
      </c>
      <c r="BM14" s="531">
        <f t="shared" si="6"/>
        <v>294608.16666666669</v>
      </c>
      <c r="BN14" s="531">
        <f t="shared" si="6"/>
        <v>294608.16666666669</v>
      </c>
      <c r="BO14" s="531">
        <f t="shared" si="6"/>
        <v>294608.16666666669</v>
      </c>
      <c r="BP14" s="531">
        <f t="shared" si="6"/>
        <v>294608.16666666669</v>
      </c>
      <c r="BQ14" s="531">
        <f t="shared" si="6"/>
        <v>294608.16666666669</v>
      </c>
      <c r="BR14" s="531">
        <f t="shared" si="6"/>
        <v>294608.16666666669</v>
      </c>
      <c r="BS14" s="532">
        <v>3535298</v>
      </c>
    </row>
    <row r="15" spans="1:71" s="536" customFormat="1">
      <c r="A15" s="533"/>
      <c r="B15" s="521" t="s">
        <v>330</v>
      </c>
      <c r="C15" s="534" t="s">
        <v>246</v>
      </c>
      <c r="D15" s="530">
        <v>0</v>
      </c>
      <c r="E15" s="535">
        <v>200.00000000000003</v>
      </c>
      <c r="F15" s="531">
        <v>0</v>
      </c>
      <c r="G15" s="531">
        <v>699.99999999999989</v>
      </c>
      <c r="H15" s="531">
        <v>0</v>
      </c>
      <c r="I15" s="531">
        <v>1272.45</v>
      </c>
      <c r="J15" s="531">
        <v>150</v>
      </c>
      <c r="K15" s="531">
        <v>0</v>
      </c>
      <c r="L15" s="531">
        <v>0</v>
      </c>
      <c r="M15" s="531">
        <v>0</v>
      </c>
      <c r="N15" s="531">
        <v>230</v>
      </c>
      <c r="O15" s="531">
        <v>0</v>
      </c>
      <c r="P15" s="531">
        <v>302.55000000000018</v>
      </c>
      <c r="Q15" s="532">
        <v>2855</v>
      </c>
      <c r="R15" s="530">
        <v>0</v>
      </c>
      <c r="S15" s="535">
        <v>136</v>
      </c>
      <c r="T15" s="531">
        <v>27</v>
      </c>
      <c r="U15" s="531">
        <v>1026</v>
      </c>
      <c r="V15" s="531">
        <v>259</v>
      </c>
      <c r="W15" s="531">
        <v>239</v>
      </c>
      <c r="X15" s="531">
        <v>185</v>
      </c>
      <c r="Y15" s="531">
        <v>132</v>
      </c>
      <c r="Z15" s="531">
        <v>68</v>
      </c>
      <c r="AA15" s="531">
        <v>138</v>
      </c>
      <c r="AB15" s="531">
        <v>136.36760399999991</v>
      </c>
      <c r="AC15" s="531">
        <v>1</v>
      </c>
      <c r="AD15" s="531">
        <f t="shared" si="0"/>
        <v>633.63239600000009</v>
      </c>
      <c r="AE15" s="532">
        <v>2981</v>
      </c>
      <c r="AF15" s="530">
        <v>0</v>
      </c>
      <c r="AG15" s="531">
        <v>0</v>
      </c>
      <c r="AH15" s="531">
        <v>15</v>
      </c>
      <c r="AI15" s="531">
        <v>0</v>
      </c>
      <c r="AJ15" s="531">
        <v>0</v>
      </c>
      <c r="AK15" s="531">
        <v>0</v>
      </c>
      <c r="AL15" s="531">
        <v>0</v>
      </c>
      <c r="AM15" s="531">
        <v>5</v>
      </c>
      <c r="AN15" s="531">
        <v>0</v>
      </c>
      <c r="AO15" s="531">
        <v>0</v>
      </c>
      <c r="AP15" s="531">
        <v>178884.50710000002</v>
      </c>
      <c r="AQ15" s="531">
        <v>161788.03475599998</v>
      </c>
      <c r="AR15" s="531">
        <f t="shared" si="1"/>
        <v>-337944.54185599997</v>
      </c>
      <c r="AS15" s="532">
        <v>2748</v>
      </c>
      <c r="AT15" s="530">
        <v>18</v>
      </c>
      <c r="AU15" s="531">
        <v>14</v>
      </c>
      <c r="AV15" s="531">
        <v>501</v>
      </c>
      <c r="AW15" s="531">
        <v>726</v>
      </c>
      <c r="AX15" s="531">
        <f t="shared" si="4"/>
        <v>-157.375</v>
      </c>
      <c r="AY15" s="531">
        <f t="shared" si="2"/>
        <v>-157.375</v>
      </c>
      <c r="AZ15" s="531">
        <f t="shared" si="2"/>
        <v>-157.375</v>
      </c>
      <c r="BA15" s="531">
        <f t="shared" si="2"/>
        <v>-157.375</v>
      </c>
      <c r="BB15" s="531">
        <f t="shared" si="2"/>
        <v>-157.375</v>
      </c>
      <c r="BC15" s="531">
        <f t="shared" si="2"/>
        <v>-157.375</v>
      </c>
      <c r="BD15" s="531">
        <f t="shared" si="2"/>
        <v>-157.375</v>
      </c>
      <c r="BE15" s="531">
        <f t="shared" si="2"/>
        <v>-157.375</v>
      </c>
      <c r="BF15" s="532">
        <v>0</v>
      </c>
      <c r="BG15" s="530">
        <f t="shared" si="5"/>
        <v>242.41666666666666</v>
      </c>
      <c r="BH15" s="531">
        <f t="shared" si="6"/>
        <v>242.41666666666666</v>
      </c>
      <c r="BI15" s="531">
        <f t="shared" si="6"/>
        <v>242.41666666666666</v>
      </c>
      <c r="BJ15" s="531">
        <f t="shared" si="6"/>
        <v>242.41666666666666</v>
      </c>
      <c r="BK15" s="531">
        <f t="shared" si="6"/>
        <v>242.41666666666666</v>
      </c>
      <c r="BL15" s="531">
        <f t="shared" si="6"/>
        <v>242.41666666666666</v>
      </c>
      <c r="BM15" s="531">
        <f t="shared" si="6"/>
        <v>242.41666666666666</v>
      </c>
      <c r="BN15" s="531">
        <f t="shared" si="6"/>
        <v>242.41666666666666</v>
      </c>
      <c r="BO15" s="531">
        <f t="shared" si="6"/>
        <v>242.41666666666666</v>
      </c>
      <c r="BP15" s="531">
        <f t="shared" si="6"/>
        <v>242.41666666666666</v>
      </c>
      <c r="BQ15" s="531">
        <f t="shared" si="6"/>
        <v>242.41666666666666</v>
      </c>
      <c r="BR15" s="531">
        <f t="shared" si="6"/>
        <v>242.41666666666666</v>
      </c>
      <c r="BS15" s="532">
        <v>2909</v>
      </c>
    </row>
    <row r="16" spans="1:71" s="536" customFormat="1" ht="16.5" customHeight="1">
      <c r="A16" s="533"/>
      <c r="B16" s="521" t="s">
        <v>331</v>
      </c>
      <c r="C16" s="534" t="s">
        <v>332</v>
      </c>
      <c r="D16" s="530">
        <v>0</v>
      </c>
      <c r="E16" s="535">
        <v>0</v>
      </c>
      <c r="F16" s="531">
        <v>538.49999999999989</v>
      </c>
      <c r="G16" s="531">
        <v>0</v>
      </c>
      <c r="H16" s="531">
        <v>100.00000000000001</v>
      </c>
      <c r="I16" s="531">
        <v>122.42</v>
      </c>
      <c r="J16" s="531">
        <v>0</v>
      </c>
      <c r="K16" s="531">
        <v>0</v>
      </c>
      <c r="L16" s="531">
        <v>0</v>
      </c>
      <c r="M16" s="531">
        <v>369.99999999999994</v>
      </c>
      <c r="N16" s="531">
        <v>5.6843418860808015E-14</v>
      </c>
      <c r="O16" s="531">
        <v>0</v>
      </c>
      <c r="P16" s="531">
        <v>259.08000000000015</v>
      </c>
      <c r="Q16" s="532">
        <v>1390</v>
      </c>
      <c r="R16" s="530">
        <v>0</v>
      </c>
      <c r="S16" s="535">
        <v>0</v>
      </c>
      <c r="T16" s="531">
        <v>0</v>
      </c>
      <c r="U16" s="531">
        <v>1331</v>
      </c>
      <c r="V16" s="531">
        <v>100</v>
      </c>
      <c r="W16" s="531">
        <v>0</v>
      </c>
      <c r="X16" s="531">
        <v>0</v>
      </c>
      <c r="Y16" s="531">
        <v>0</v>
      </c>
      <c r="Z16" s="531">
        <v>0</v>
      </c>
      <c r="AA16" s="531">
        <v>0</v>
      </c>
      <c r="AB16" s="531">
        <v>0</v>
      </c>
      <c r="AC16" s="531">
        <v>0</v>
      </c>
      <c r="AD16" s="531">
        <f t="shared" si="0"/>
        <v>440</v>
      </c>
      <c r="AE16" s="532">
        <v>1871</v>
      </c>
      <c r="AF16" s="530">
        <v>0</v>
      </c>
      <c r="AG16" s="531">
        <v>0</v>
      </c>
      <c r="AH16" s="531">
        <v>0</v>
      </c>
      <c r="AI16" s="531">
        <v>0</v>
      </c>
      <c r="AJ16" s="531">
        <v>0</v>
      </c>
      <c r="AK16" s="531">
        <v>0</v>
      </c>
      <c r="AL16" s="531">
        <v>0</v>
      </c>
      <c r="AM16" s="531">
        <v>0</v>
      </c>
      <c r="AN16" s="531">
        <v>0</v>
      </c>
      <c r="AO16" s="531">
        <v>0</v>
      </c>
      <c r="AP16" s="531">
        <v>6.7500000000000027</v>
      </c>
      <c r="AQ16" s="531">
        <v>0</v>
      </c>
      <c r="AR16" s="531">
        <f t="shared" si="1"/>
        <v>993.25</v>
      </c>
      <c r="AS16" s="532">
        <v>1000</v>
      </c>
      <c r="AT16" s="530">
        <v>0</v>
      </c>
      <c r="AU16" s="531">
        <v>0</v>
      </c>
      <c r="AV16" s="531">
        <v>0</v>
      </c>
      <c r="AW16" s="531">
        <v>606</v>
      </c>
      <c r="AX16" s="531">
        <f t="shared" si="4"/>
        <v>-75.75</v>
      </c>
      <c r="AY16" s="531">
        <f t="shared" si="2"/>
        <v>-75.75</v>
      </c>
      <c r="AZ16" s="531">
        <f t="shared" si="2"/>
        <v>-75.75</v>
      </c>
      <c r="BA16" s="531">
        <f t="shared" si="2"/>
        <v>-75.75</v>
      </c>
      <c r="BB16" s="531">
        <f t="shared" si="2"/>
        <v>-75.75</v>
      </c>
      <c r="BC16" s="531">
        <f t="shared" si="2"/>
        <v>-75.75</v>
      </c>
      <c r="BD16" s="531">
        <f t="shared" si="2"/>
        <v>-75.75</v>
      </c>
      <c r="BE16" s="531">
        <f t="shared" si="2"/>
        <v>-75.75</v>
      </c>
      <c r="BF16" s="532">
        <v>0</v>
      </c>
      <c r="BG16" s="530">
        <f t="shared" si="5"/>
        <v>135.25</v>
      </c>
      <c r="BH16" s="531">
        <f t="shared" si="6"/>
        <v>135.25</v>
      </c>
      <c r="BI16" s="531">
        <f t="shared" si="6"/>
        <v>135.25</v>
      </c>
      <c r="BJ16" s="531">
        <f t="shared" si="6"/>
        <v>135.25</v>
      </c>
      <c r="BK16" s="531">
        <f t="shared" si="6"/>
        <v>135.25</v>
      </c>
      <c r="BL16" s="531">
        <f t="shared" si="6"/>
        <v>135.25</v>
      </c>
      <c r="BM16" s="531">
        <f t="shared" si="6"/>
        <v>135.25</v>
      </c>
      <c r="BN16" s="531">
        <f t="shared" si="6"/>
        <v>135.25</v>
      </c>
      <c r="BO16" s="531">
        <f t="shared" si="6"/>
        <v>135.25</v>
      </c>
      <c r="BP16" s="531">
        <f t="shared" si="6"/>
        <v>135.25</v>
      </c>
      <c r="BQ16" s="531">
        <f t="shared" si="6"/>
        <v>135.25</v>
      </c>
      <c r="BR16" s="531">
        <f t="shared" si="6"/>
        <v>135.25</v>
      </c>
      <c r="BS16" s="532">
        <v>1623</v>
      </c>
    </row>
    <row r="17" spans="1:71" s="536" customFormat="1">
      <c r="A17" s="533"/>
      <c r="B17" s="521" t="s">
        <v>333</v>
      </c>
      <c r="C17" s="534" t="s">
        <v>247</v>
      </c>
      <c r="D17" s="530">
        <v>142576.75999999995</v>
      </c>
      <c r="E17" s="535">
        <v>81960.900000000023</v>
      </c>
      <c r="F17" s="531">
        <v>141793.62000000002</v>
      </c>
      <c r="G17" s="531">
        <v>138746.38</v>
      </c>
      <c r="H17" s="531">
        <v>108734.86</v>
      </c>
      <c r="I17" s="531">
        <v>207241.4199999999</v>
      </c>
      <c r="J17" s="531">
        <v>120957.52000000002</v>
      </c>
      <c r="K17" s="531">
        <v>175751.86999999985</v>
      </c>
      <c r="L17" s="531">
        <v>3910128.1999999993</v>
      </c>
      <c r="M17" s="531">
        <v>121416.75</v>
      </c>
      <c r="N17" s="531">
        <v>1399849.1199999996</v>
      </c>
      <c r="O17" s="531">
        <v>1432081.969999999</v>
      </c>
      <c r="P17" s="531">
        <v>-7789455.3699999973</v>
      </c>
      <c r="Q17" s="532">
        <v>191784</v>
      </c>
      <c r="R17" s="530">
        <v>640333</v>
      </c>
      <c r="S17" s="535">
        <v>81593</v>
      </c>
      <c r="T17" s="531">
        <v>-413055</v>
      </c>
      <c r="U17" s="531">
        <v>91720</v>
      </c>
      <c r="V17" s="531">
        <v>117163</v>
      </c>
      <c r="W17" s="531">
        <v>3235345</v>
      </c>
      <c r="X17" s="531">
        <v>762941</v>
      </c>
      <c r="Y17" s="531">
        <v>829250</v>
      </c>
      <c r="Z17" s="531">
        <v>193503</v>
      </c>
      <c r="AA17" s="531">
        <v>1401900</v>
      </c>
      <c r="AB17" s="531">
        <v>793325.70095000102</v>
      </c>
      <c r="AC17" s="531">
        <v>724518</v>
      </c>
      <c r="AD17" s="531">
        <f t="shared" si="0"/>
        <v>-1814923.7009500009</v>
      </c>
      <c r="AE17" s="532">
        <f>6733973-48556-9580+11163-43387</f>
        <v>6643613</v>
      </c>
      <c r="AF17" s="530">
        <f>166943+16844-4912</f>
        <v>178875</v>
      </c>
      <c r="AG17" s="531">
        <f>91574+38209</f>
        <v>129783</v>
      </c>
      <c r="AH17" s="531">
        <f>112083-3040+23450</f>
        <v>132493</v>
      </c>
      <c r="AI17" s="531">
        <f>67190+39919+4912</f>
        <v>112021</v>
      </c>
      <c r="AJ17" s="531">
        <f>69055+23573</f>
        <v>92628</v>
      </c>
      <c r="AK17" s="531">
        <f>72264+96691</f>
        <v>168955</v>
      </c>
      <c r="AL17" s="531">
        <f>88089.70572-64061</f>
        <v>24028.705719999998</v>
      </c>
      <c r="AM17" s="531">
        <f>114453+38095</f>
        <v>152548</v>
      </c>
      <c r="AN17" s="531">
        <f>4259766+1233243</f>
        <v>5493009</v>
      </c>
      <c r="AO17" s="531">
        <f>558949+167070</f>
        <v>726019</v>
      </c>
      <c r="AP17" s="531">
        <f>88692+87092</f>
        <v>175784</v>
      </c>
      <c r="AQ17" s="531">
        <f>81313.391928+53351</f>
        <v>134664.391928</v>
      </c>
      <c r="AR17" s="531">
        <f t="shared" si="1"/>
        <v>2045924.9023520001</v>
      </c>
      <c r="AS17" s="532">
        <f>9127808-561075+4000000-2991548-8452</f>
        <v>9566733</v>
      </c>
      <c r="AT17" s="530">
        <f>64694+17033</f>
        <v>81727</v>
      </c>
      <c r="AU17" s="531">
        <f>89607+216487</f>
        <v>306094</v>
      </c>
      <c r="AV17" s="531">
        <v>73609</v>
      </c>
      <c r="AW17" s="531">
        <f>83844+54227</f>
        <v>138071</v>
      </c>
      <c r="AX17" s="531">
        <f t="shared" si="4"/>
        <v>1718681.625</v>
      </c>
      <c r="AY17" s="531">
        <f t="shared" si="2"/>
        <v>1718681.625</v>
      </c>
      <c r="AZ17" s="531">
        <f t="shared" si="2"/>
        <v>1718681.625</v>
      </c>
      <c r="BA17" s="531">
        <f t="shared" si="2"/>
        <v>1718681.625</v>
      </c>
      <c r="BB17" s="531">
        <f t="shared" si="2"/>
        <v>1718681.625</v>
      </c>
      <c r="BC17" s="531">
        <f t="shared" si="2"/>
        <v>1718681.625</v>
      </c>
      <c r="BD17" s="531">
        <f t="shared" si="2"/>
        <v>1718681.625</v>
      </c>
      <c r="BE17" s="531">
        <f t="shared" si="2"/>
        <v>1718681.625</v>
      </c>
      <c r="BF17" s="532">
        <f>502235+9168261+5500000-7713-813829</f>
        <v>14348954</v>
      </c>
      <c r="BG17" s="530">
        <f t="shared" si="5"/>
        <v>676093.75</v>
      </c>
      <c r="BH17" s="531">
        <f t="shared" si="6"/>
        <v>676093.75</v>
      </c>
      <c r="BI17" s="531">
        <f t="shared" si="6"/>
        <v>676093.75</v>
      </c>
      <c r="BJ17" s="531">
        <f t="shared" si="6"/>
        <v>676093.75</v>
      </c>
      <c r="BK17" s="531">
        <f t="shared" si="6"/>
        <v>676093.75</v>
      </c>
      <c r="BL17" s="531">
        <f t="shared" si="6"/>
        <v>676093.75</v>
      </c>
      <c r="BM17" s="531">
        <f t="shared" si="6"/>
        <v>676093.75</v>
      </c>
      <c r="BN17" s="531">
        <f t="shared" si="6"/>
        <v>676093.75</v>
      </c>
      <c r="BO17" s="531">
        <f t="shared" si="6"/>
        <v>676093.75</v>
      </c>
      <c r="BP17" s="531">
        <f t="shared" si="6"/>
        <v>676093.75</v>
      </c>
      <c r="BQ17" s="531">
        <f t="shared" si="6"/>
        <v>676093.75</v>
      </c>
      <c r="BR17" s="531">
        <f t="shared" si="6"/>
        <v>676093.75</v>
      </c>
      <c r="BS17" s="532">
        <v>8113125</v>
      </c>
    </row>
    <row r="18" spans="1:71">
      <c r="A18" s="527"/>
      <c r="B18" s="528" t="s">
        <v>334</v>
      </c>
      <c r="C18" s="529" t="s">
        <v>248</v>
      </c>
      <c r="D18" s="530">
        <v>0</v>
      </c>
      <c r="E18" s="531">
        <v>760.99</v>
      </c>
      <c r="F18" s="531">
        <v>0</v>
      </c>
      <c r="G18" s="531">
        <v>337.99</v>
      </c>
      <c r="H18" s="531">
        <v>21.769999999999996</v>
      </c>
      <c r="I18" s="531">
        <v>32.94</v>
      </c>
      <c r="J18" s="531">
        <v>385.43</v>
      </c>
      <c r="K18" s="531">
        <v>289.61000000000007</v>
      </c>
      <c r="L18" s="531">
        <v>2118.63</v>
      </c>
      <c r="M18" s="531">
        <v>1354.02</v>
      </c>
      <c r="N18" s="531">
        <v>86.009999999999991</v>
      </c>
      <c r="O18" s="531">
        <v>1435.85</v>
      </c>
      <c r="P18" s="531">
        <v>-2258</v>
      </c>
      <c r="Q18" s="532">
        <v>4565</v>
      </c>
      <c r="R18" s="530">
        <v>0</v>
      </c>
      <c r="S18" s="531">
        <v>0</v>
      </c>
      <c r="T18" s="531">
        <v>0</v>
      </c>
      <c r="U18" s="531">
        <v>0</v>
      </c>
      <c r="V18" s="531">
        <v>0</v>
      </c>
      <c r="W18" s="531">
        <v>0</v>
      </c>
      <c r="X18" s="531">
        <v>0</v>
      </c>
      <c r="Y18" s="531">
        <v>0</v>
      </c>
      <c r="Z18" s="531">
        <v>0</v>
      </c>
      <c r="AA18" s="531">
        <v>0</v>
      </c>
      <c r="AB18" s="531">
        <v>0</v>
      </c>
      <c r="AC18" s="531">
        <v>0</v>
      </c>
      <c r="AD18" s="531">
        <f t="shared" si="0"/>
        <v>0</v>
      </c>
      <c r="AE18" s="532">
        <v>0</v>
      </c>
      <c r="AF18" s="530">
        <v>0</v>
      </c>
      <c r="AG18" s="531">
        <v>0</v>
      </c>
      <c r="AH18" s="531">
        <v>0</v>
      </c>
      <c r="AI18" s="531">
        <v>0</v>
      </c>
      <c r="AJ18" s="531">
        <v>0</v>
      </c>
      <c r="AK18" s="531">
        <v>0</v>
      </c>
      <c r="AL18" s="531">
        <v>0</v>
      </c>
      <c r="AM18" s="531">
        <v>0</v>
      </c>
      <c r="AN18" s="531">
        <v>0</v>
      </c>
      <c r="AO18" s="531">
        <v>0</v>
      </c>
      <c r="AP18" s="531">
        <v>0</v>
      </c>
      <c r="AQ18" s="531">
        <v>0</v>
      </c>
      <c r="AR18" s="531">
        <f t="shared" si="1"/>
        <v>5941</v>
      </c>
      <c r="AS18" s="532">
        <v>5941</v>
      </c>
      <c r="AT18" s="530">
        <v>0</v>
      </c>
      <c r="AU18" s="531">
        <f t="shared" si="11"/>
        <v>0</v>
      </c>
      <c r="AV18" s="531">
        <f t="shared" si="12"/>
        <v>0</v>
      </c>
      <c r="AW18" s="531">
        <f t="shared" si="13"/>
        <v>0</v>
      </c>
      <c r="AX18" s="531">
        <f t="shared" si="4"/>
        <v>0</v>
      </c>
      <c r="AY18" s="531">
        <f t="shared" si="2"/>
        <v>0</v>
      </c>
      <c r="AZ18" s="531">
        <f t="shared" si="2"/>
        <v>0</v>
      </c>
      <c r="BA18" s="531">
        <f t="shared" si="2"/>
        <v>0</v>
      </c>
      <c r="BB18" s="531">
        <f t="shared" si="2"/>
        <v>0</v>
      </c>
      <c r="BC18" s="531">
        <f t="shared" si="2"/>
        <v>0</v>
      </c>
      <c r="BD18" s="531">
        <f t="shared" si="2"/>
        <v>0</v>
      </c>
      <c r="BE18" s="531">
        <f t="shared" si="2"/>
        <v>0</v>
      </c>
      <c r="BF18" s="532"/>
      <c r="BG18" s="530">
        <f t="shared" si="5"/>
        <v>0</v>
      </c>
      <c r="BH18" s="531">
        <f t="shared" si="6"/>
        <v>0</v>
      </c>
      <c r="BI18" s="531">
        <f t="shared" si="6"/>
        <v>0</v>
      </c>
      <c r="BJ18" s="531">
        <f t="shared" si="6"/>
        <v>0</v>
      </c>
      <c r="BK18" s="531">
        <f t="shared" si="6"/>
        <v>0</v>
      </c>
      <c r="BL18" s="531">
        <f t="shared" si="6"/>
        <v>0</v>
      </c>
      <c r="BM18" s="531">
        <f t="shared" si="6"/>
        <v>0</v>
      </c>
      <c r="BN18" s="531">
        <f t="shared" si="6"/>
        <v>0</v>
      </c>
      <c r="BO18" s="531">
        <f t="shared" si="6"/>
        <v>0</v>
      </c>
      <c r="BP18" s="531">
        <f t="shared" si="6"/>
        <v>0</v>
      </c>
      <c r="BQ18" s="531">
        <f t="shared" si="6"/>
        <v>0</v>
      </c>
      <c r="BR18" s="531">
        <f t="shared" si="6"/>
        <v>0</v>
      </c>
      <c r="BS18" s="532">
        <v>0</v>
      </c>
    </row>
    <row r="19" spans="1:71">
      <c r="A19" s="527"/>
      <c r="B19" s="528" t="s">
        <v>335</v>
      </c>
      <c r="C19" s="529" t="s">
        <v>336</v>
      </c>
      <c r="D19" s="530"/>
      <c r="E19" s="531"/>
      <c r="F19" s="531"/>
      <c r="G19" s="531"/>
      <c r="H19" s="531"/>
      <c r="I19" s="531"/>
      <c r="J19" s="531"/>
      <c r="K19" s="531"/>
      <c r="L19" s="531"/>
      <c r="M19" s="531"/>
      <c r="N19" s="531"/>
      <c r="O19" s="531"/>
      <c r="P19" s="531">
        <v>0</v>
      </c>
      <c r="Q19" s="532">
        <v>0</v>
      </c>
      <c r="R19" s="530">
        <v>0</v>
      </c>
      <c r="S19" s="531">
        <v>0</v>
      </c>
      <c r="T19" s="531">
        <v>0</v>
      </c>
      <c r="U19" s="531">
        <v>0</v>
      </c>
      <c r="V19" s="531">
        <v>0</v>
      </c>
      <c r="W19" s="531">
        <v>0</v>
      </c>
      <c r="X19" s="531">
        <v>0</v>
      </c>
      <c r="Y19" s="531">
        <v>0</v>
      </c>
      <c r="Z19" s="531">
        <v>0</v>
      </c>
      <c r="AA19" s="531">
        <v>0</v>
      </c>
      <c r="AB19" s="531">
        <v>0</v>
      </c>
      <c r="AC19" s="531">
        <v>0</v>
      </c>
      <c r="AD19" s="531">
        <f t="shared" si="0"/>
        <v>0</v>
      </c>
      <c r="AE19" s="532">
        <v>0</v>
      </c>
      <c r="AF19" s="530">
        <v>0</v>
      </c>
      <c r="AG19" s="531">
        <f t="shared" si="7"/>
        <v>0</v>
      </c>
      <c r="AH19" s="531">
        <f t="shared" ref="AH19:AH20" si="14">(AS19-AF19-AG19)/10</f>
        <v>0</v>
      </c>
      <c r="AI19" s="531">
        <f t="shared" ref="AI19:AI20" si="15">(AS19-AF19-AG19-AH19)/9</f>
        <v>0</v>
      </c>
      <c r="AJ19" s="531">
        <f t="shared" si="8"/>
        <v>0</v>
      </c>
      <c r="AK19" s="531">
        <f t="shared" si="9"/>
        <v>0</v>
      </c>
      <c r="AL19" s="531">
        <v>0</v>
      </c>
      <c r="AM19" s="531">
        <f t="shared" si="10"/>
        <v>0</v>
      </c>
      <c r="AN19" s="531">
        <f t="shared" ref="AN19:AN20" si="16">(AS19-AF19-AG19-AH19-AI19-AJ19-AK19-AL19-AM19)/4</f>
        <v>0</v>
      </c>
      <c r="AO19" s="531">
        <f t="shared" ref="AO19:AO20" si="17">(AS19-AF19-AG19-AH19-AI19-AJ19-AK19-AL19-AM19-AN19)/3</f>
        <v>0</v>
      </c>
      <c r="AP19" s="531">
        <v>0</v>
      </c>
      <c r="AQ19" s="531">
        <v>0</v>
      </c>
      <c r="AR19" s="531">
        <v>1</v>
      </c>
      <c r="AS19" s="532">
        <v>0</v>
      </c>
      <c r="AT19" s="530">
        <v>0</v>
      </c>
      <c r="AU19" s="531">
        <f t="shared" si="11"/>
        <v>0</v>
      </c>
      <c r="AV19" s="531">
        <f t="shared" si="12"/>
        <v>0</v>
      </c>
      <c r="AW19" s="531">
        <f t="shared" si="13"/>
        <v>0</v>
      </c>
      <c r="AX19" s="531">
        <f t="shared" si="4"/>
        <v>0</v>
      </c>
      <c r="AY19" s="531">
        <f t="shared" si="2"/>
        <v>0</v>
      </c>
      <c r="AZ19" s="531">
        <f t="shared" si="2"/>
        <v>0</v>
      </c>
      <c r="BA19" s="531">
        <f t="shared" si="2"/>
        <v>0</v>
      </c>
      <c r="BB19" s="531">
        <f t="shared" si="2"/>
        <v>0</v>
      </c>
      <c r="BC19" s="531">
        <f t="shared" si="2"/>
        <v>0</v>
      </c>
      <c r="BD19" s="531">
        <f t="shared" si="2"/>
        <v>0</v>
      </c>
      <c r="BE19" s="531">
        <f t="shared" si="2"/>
        <v>0</v>
      </c>
      <c r="BF19" s="532">
        <v>0</v>
      </c>
      <c r="BG19" s="530">
        <f t="shared" si="5"/>
        <v>0</v>
      </c>
      <c r="BH19" s="531">
        <f t="shared" si="6"/>
        <v>0</v>
      </c>
      <c r="BI19" s="531">
        <f t="shared" si="6"/>
        <v>0</v>
      </c>
      <c r="BJ19" s="531">
        <f t="shared" si="6"/>
        <v>0</v>
      </c>
      <c r="BK19" s="531">
        <f t="shared" si="6"/>
        <v>0</v>
      </c>
      <c r="BL19" s="531">
        <f t="shared" si="6"/>
        <v>0</v>
      </c>
      <c r="BM19" s="531">
        <f t="shared" si="6"/>
        <v>0</v>
      </c>
      <c r="BN19" s="531">
        <f t="shared" si="6"/>
        <v>0</v>
      </c>
      <c r="BO19" s="531">
        <f t="shared" si="6"/>
        <v>0</v>
      </c>
      <c r="BP19" s="531">
        <f t="shared" si="6"/>
        <v>0</v>
      </c>
      <c r="BQ19" s="531">
        <f t="shared" si="6"/>
        <v>0</v>
      </c>
      <c r="BR19" s="531">
        <f t="shared" si="6"/>
        <v>0</v>
      </c>
      <c r="BS19" s="532">
        <v>0</v>
      </c>
    </row>
    <row r="20" spans="1:71">
      <c r="A20" s="527"/>
      <c r="B20" s="528" t="s">
        <v>337</v>
      </c>
      <c r="C20" s="529" t="s">
        <v>250</v>
      </c>
      <c r="D20" s="530"/>
      <c r="E20" s="531"/>
      <c r="F20" s="531"/>
      <c r="G20" s="531"/>
      <c r="H20" s="531"/>
      <c r="I20" s="531"/>
      <c r="J20" s="531"/>
      <c r="K20" s="531"/>
      <c r="L20" s="531"/>
      <c r="M20" s="531"/>
      <c r="N20" s="531"/>
      <c r="O20" s="531"/>
      <c r="P20" s="531">
        <v>0</v>
      </c>
      <c r="Q20" s="532">
        <v>0</v>
      </c>
      <c r="R20" s="530">
        <v>0</v>
      </c>
      <c r="S20" s="531">
        <v>0</v>
      </c>
      <c r="T20" s="531">
        <v>0</v>
      </c>
      <c r="U20" s="531">
        <v>0</v>
      </c>
      <c r="V20" s="531">
        <v>0</v>
      </c>
      <c r="W20" s="531">
        <v>0</v>
      </c>
      <c r="X20" s="531">
        <v>0</v>
      </c>
      <c r="Y20" s="531">
        <v>0</v>
      </c>
      <c r="Z20" s="531">
        <v>0</v>
      </c>
      <c r="AA20" s="531">
        <v>0</v>
      </c>
      <c r="AB20" s="531">
        <v>0</v>
      </c>
      <c r="AC20" s="531">
        <v>0</v>
      </c>
      <c r="AD20" s="531">
        <f t="shared" si="0"/>
        <v>0</v>
      </c>
      <c r="AE20" s="532">
        <v>0</v>
      </c>
      <c r="AF20" s="530">
        <v>0</v>
      </c>
      <c r="AG20" s="531">
        <f t="shared" si="7"/>
        <v>0</v>
      </c>
      <c r="AH20" s="531">
        <f t="shared" si="14"/>
        <v>0</v>
      </c>
      <c r="AI20" s="531">
        <f t="shared" si="15"/>
        <v>0</v>
      </c>
      <c r="AJ20" s="531">
        <f t="shared" si="8"/>
        <v>0</v>
      </c>
      <c r="AK20" s="531">
        <f t="shared" si="9"/>
        <v>0</v>
      </c>
      <c r="AL20" s="531">
        <v>0</v>
      </c>
      <c r="AM20" s="531">
        <f t="shared" si="10"/>
        <v>0</v>
      </c>
      <c r="AN20" s="531">
        <f t="shared" si="16"/>
        <v>0</v>
      </c>
      <c r="AO20" s="531">
        <f t="shared" si="17"/>
        <v>0</v>
      </c>
      <c r="AP20" s="531">
        <v>0</v>
      </c>
      <c r="AQ20" s="531">
        <v>0</v>
      </c>
      <c r="AR20" s="531">
        <f t="shared" si="1"/>
        <v>0</v>
      </c>
      <c r="AS20" s="532">
        <v>0</v>
      </c>
      <c r="AT20" s="530">
        <v>0</v>
      </c>
      <c r="AU20" s="531">
        <f t="shared" si="11"/>
        <v>0</v>
      </c>
      <c r="AV20" s="531">
        <f t="shared" si="12"/>
        <v>0</v>
      </c>
      <c r="AW20" s="531">
        <f t="shared" si="13"/>
        <v>0</v>
      </c>
      <c r="AX20" s="531">
        <f t="shared" si="4"/>
        <v>0</v>
      </c>
      <c r="AY20" s="531">
        <f t="shared" si="2"/>
        <v>0</v>
      </c>
      <c r="AZ20" s="531">
        <f t="shared" si="2"/>
        <v>0</v>
      </c>
      <c r="BA20" s="531">
        <f t="shared" si="2"/>
        <v>0</v>
      </c>
      <c r="BB20" s="531">
        <f t="shared" si="2"/>
        <v>0</v>
      </c>
      <c r="BC20" s="531">
        <f t="shared" si="2"/>
        <v>0</v>
      </c>
      <c r="BD20" s="531">
        <f t="shared" si="2"/>
        <v>0</v>
      </c>
      <c r="BE20" s="531">
        <f t="shared" si="2"/>
        <v>0</v>
      </c>
      <c r="BF20" s="532">
        <v>0</v>
      </c>
      <c r="BG20" s="530">
        <f t="shared" si="5"/>
        <v>0</v>
      </c>
      <c r="BH20" s="531">
        <f t="shared" si="6"/>
        <v>0</v>
      </c>
      <c r="BI20" s="531">
        <f t="shared" si="6"/>
        <v>0</v>
      </c>
      <c r="BJ20" s="531">
        <f t="shared" si="6"/>
        <v>0</v>
      </c>
      <c r="BK20" s="531">
        <f t="shared" si="6"/>
        <v>0</v>
      </c>
      <c r="BL20" s="531">
        <f t="shared" si="6"/>
        <v>0</v>
      </c>
      <c r="BM20" s="531">
        <f t="shared" si="6"/>
        <v>0</v>
      </c>
      <c r="BN20" s="531">
        <f t="shared" si="6"/>
        <v>0</v>
      </c>
      <c r="BO20" s="531">
        <f t="shared" si="6"/>
        <v>0</v>
      </c>
      <c r="BP20" s="531">
        <f t="shared" si="6"/>
        <v>0</v>
      </c>
      <c r="BQ20" s="531">
        <f t="shared" si="6"/>
        <v>0</v>
      </c>
      <c r="BR20" s="531">
        <f t="shared" si="6"/>
        <v>0</v>
      </c>
      <c r="BS20" s="532">
        <v>0</v>
      </c>
    </row>
    <row r="21" spans="1:71" s="512" customFormat="1" ht="16.8" thickBot="1">
      <c r="A21" s="537"/>
      <c r="B21" s="538" t="s">
        <v>152</v>
      </c>
      <c r="C21" s="539"/>
      <c r="D21" s="540">
        <v>2738421.32</v>
      </c>
      <c r="E21" s="541">
        <v>3012119.74</v>
      </c>
      <c r="F21" s="541">
        <v>3195263.36</v>
      </c>
      <c r="G21" s="541">
        <v>3096996.9700000007</v>
      </c>
      <c r="H21" s="541">
        <v>3104629.8799999994</v>
      </c>
      <c r="I21" s="541">
        <v>3264203.39</v>
      </c>
      <c r="J21" s="541">
        <v>3130960.7699999996</v>
      </c>
      <c r="K21" s="541">
        <v>3136293.9799999995</v>
      </c>
      <c r="L21" s="541">
        <v>7008479.7699999996</v>
      </c>
      <c r="M21" s="541">
        <v>3166577.5100000007</v>
      </c>
      <c r="N21" s="541">
        <v>4521472.1099999994</v>
      </c>
      <c r="O21" s="541">
        <v>4556751.4999999991</v>
      </c>
      <c r="P21" s="541">
        <v>1571547.9399999995</v>
      </c>
      <c r="Q21" s="541">
        <v>45503718</v>
      </c>
      <c r="R21" s="540">
        <v>3827123.8099999996</v>
      </c>
      <c r="S21" s="541">
        <v>3699961</v>
      </c>
      <c r="T21" s="541">
        <v>3301283</v>
      </c>
      <c r="U21" s="541">
        <v>3913263</v>
      </c>
      <c r="V21" s="541">
        <v>3943826</v>
      </c>
      <c r="W21" s="541">
        <v>6957616</v>
      </c>
      <c r="X21" s="541">
        <v>4583645</v>
      </c>
      <c r="Y21" s="541">
        <v>4969046</v>
      </c>
      <c r="Z21" s="541">
        <v>3778234.6408539996</v>
      </c>
      <c r="AA21" s="541">
        <v>4983541</v>
      </c>
      <c r="AB21" s="541">
        <v>4466509.8312060004</v>
      </c>
      <c r="AC21" s="541">
        <v>4532868</v>
      </c>
      <c r="AD21" s="541">
        <f>SUM(AD8:AD20)</f>
        <v>1292198.7179399962</v>
      </c>
      <c r="AE21" s="541">
        <f>SUM(AE8:AE20)</f>
        <v>54249116</v>
      </c>
      <c r="AF21" s="581">
        <f>SUM(AF8:AF20)</f>
        <v>3719615</v>
      </c>
      <c r="AG21" s="582">
        <f t="shared" ref="AG21:AK21" si="18">SUM(AG8:AG20)</f>
        <v>3771419</v>
      </c>
      <c r="AH21" s="582">
        <f>SUM(AH8:AH20)</f>
        <v>3726770</v>
      </c>
      <c r="AI21" s="582">
        <f t="shared" si="18"/>
        <v>4027263</v>
      </c>
      <c r="AJ21" s="582">
        <f t="shared" si="18"/>
        <v>3675367</v>
      </c>
      <c r="AK21" s="582">
        <f t="shared" si="18"/>
        <v>3863577</v>
      </c>
      <c r="AL21" s="582">
        <f>SUM(AL8:AL20)</f>
        <v>3739897.3370119999</v>
      </c>
      <c r="AM21" s="582">
        <f>SUM(AM8:AM20)</f>
        <v>3805918</v>
      </c>
      <c r="AN21" s="582">
        <f>SUM(AN8:AN20)</f>
        <v>9138254</v>
      </c>
      <c r="AO21" s="582">
        <f>SUM(AO8:AO20)</f>
        <v>5119634</v>
      </c>
      <c r="AP21" s="582">
        <f>SUM(AP8:AP20)</f>
        <v>4086905.9383000042</v>
      </c>
      <c r="AQ21" s="582">
        <f>SUM(AQ8:AQ19)</f>
        <v>3892955.1534039984</v>
      </c>
      <c r="AR21" s="541">
        <f t="shared" ref="AR21:AW21" si="19">SUM(AR8:AR20)</f>
        <v>4482234.571283998</v>
      </c>
      <c r="AS21" s="541">
        <f t="shared" si="19"/>
        <v>57049809</v>
      </c>
      <c r="AT21" s="581">
        <f t="shared" si="19"/>
        <v>3513769</v>
      </c>
      <c r="AU21" s="582">
        <f t="shared" si="19"/>
        <v>3824956</v>
      </c>
      <c r="AV21" s="582">
        <f t="shared" si="19"/>
        <v>3958986</v>
      </c>
      <c r="AW21" s="582">
        <f t="shared" si="19"/>
        <v>3969109</v>
      </c>
      <c r="AX21" s="582">
        <f t="shared" si="4"/>
        <v>5728438.125</v>
      </c>
      <c r="AY21" s="582">
        <f t="shared" si="2"/>
        <v>5728438.125</v>
      </c>
      <c r="AZ21" s="582">
        <f t="shared" si="2"/>
        <v>5728438.125</v>
      </c>
      <c r="BA21" s="582">
        <f t="shared" si="2"/>
        <v>5728438.125</v>
      </c>
      <c r="BB21" s="582">
        <f t="shared" si="2"/>
        <v>5728438.125</v>
      </c>
      <c r="BC21" s="582">
        <f t="shared" si="2"/>
        <v>5728438.125</v>
      </c>
      <c r="BD21" s="582">
        <f t="shared" si="2"/>
        <v>5728438.125</v>
      </c>
      <c r="BE21" s="582">
        <f t="shared" si="2"/>
        <v>5728438.125</v>
      </c>
      <c r="BF21" s="541">
        <f>SUM(BF8:BF20)</f>
        <v>61094325</v>
      </c>
      <c r="BG21" s="581">
        <f t="shared" si="5"/>
        <v>4677216.666666667</v>
      </c>
      <c r="BH21" s="582">
        <f t="shared" si="6"/>
        <v>4677216.666666667</v>
      </c>
      <c r="BI21" s="582">
        <f t="shared" si="6"/>
        <v>4677216.666666667</v>
      </c>
      <c r="BJ21" s="582">
        <f t="shared" si="6"/>
        <v>4677216.666666667</v>
      </c>
      <c r="BK21" s="582">
        <f t="shared" si="6"/>
        <v>4677216.666666667</v>
      </c>
      <c r="BL21" s="582">
        <f t="shared" si="6"/>
        <v>4677216.666666667</v>
      </c>
      <c r="BM21" s="582">
        <f t="shared" si="6"/>
        <v>4677216.666666667</v>
      </c>
      <c r="BN21" s="582">
        <f t="shared" si="6"/>
        <v>4677216.666666667</v>
      </c>
      <c r="BO21" s="582">
        <f t="shared" si="6"/>
        <v>4677216.666666667</v>
      </c>
      <c r="BP21" s="582">
        <f t="shared" si="6"/>
        <v>4677216.666666667</v>
      </c>
      <c r="BQ21" s="582">
        <f t="shared" si="6"/>
        <v>4677216.666666667</v>
      </c>
      <c r="BR21" s="582">
        <f t="shared" si="6"/>
        <v>4677216.666666667</v>
      </c>
      <c r="BS21" s="541">
        <v>56126600</v>
      </c>
    </row>
    <row r="22" spans="1:71" s="521" customFormat="1">
      <c r="D22" s="542"/>
      <c r="E22" s="542"/>
      <c r="F22" s="542"/>
      <c r="G22" s="542"/>
      <c r="H22" s="542"/>
      <c r="I22" s="542"/>
      <c r="J22" s="542"/>
      <c r="K22" s="542"/>
      <c r="L22" s="542"/>
      <c r="M22" s="542"/>
      <c r="N22" s="542"/>
      <c r="O22" s="542"/>
      <c r="P22" s="542"/>
      <c r="Q22" s="542"/>
      <c r="R22" s="542"/>
      <c r="S22" s="542"/>
      <c r="T22" s="542"/>
      <c r="U22" s="542"/>
      <c r="V22" s="542"/>
      <c r="W22" s="542"/>
      <c r="X22" s="542"/>
      <c r="Y22" s="542"/>
      <c r="Z22" s="542"/>
      <c r="AA22" s="542"/>
      <c r="AB22" s="542"/>
      <c r="AC22" s="542"/>
      <c r="AD22" s="542"/>
      <c r="AE22" s="542"/>
      <c r="AF22" s="542"/>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row>
    <row r="23" spans="1:71" s="521" customFormat="1" ht="16.8" thickBot="1">
      <c r="D23" s="543"/>
      <c r="E23" s="543"/>
      <c r="F23" s="543"/>
      <c r="G23" s="543"/>
      <c r="H23" s="543"/>
      <c r="I23" s="543"/>
      <c r="J23" s="543"/>
      <c r="K23" s="543"/>
      <c r="L23" s="543"/>
      <c r="M23" s="543"/>
      <c r="N23" s="543"/>
      <c r="O23" s="543"/>
      <c r="P23" s="543"/>
      <c r="Q23" s="543"/>
      <c r="R23" s="543"/>
      <c r="S23" s="543"/>
      <c r="T23" s="543"/>
      <c r="U23" s="543"/>
      <c r="V23" s="543"/>
      <c r="W23" s="543"/>
      <c r="X23" s="543"/>
      <c r="Y23" s="543"/>
      <c r="Z23" s="543"/>
      <c r="AA23" s="543"/>
      <c r="AB23" s="543"/>
      <c r="AC23" s="543"/>
      <c r="AD23" s="543"/>
      <c r="AE23" s="543"/>
      <c r="AF23" s="543"/>
      <c r="AG23" s="543"/>
      <c r="AH23" s="543"/>
      <c r="AI23" s="543"/>
      <c r="AJ23" s="543"/>
      <c r="AK23" s="543"/>
      <c r="AL23" s="543"/>
      <c r="AM23" s="543"/>
      <c r="AN23" s="543"/>
      <c r="AO23" s="543"/>
      <c r="AP23" s="543"/>
      <c r="AQ23" s="543"/>
      <c r="AR23" s="543"/>
      <c r="AS23" s="543"/>
      <c r="AT23" s="543"/>
      <c r="AU23" s="543"/>
      <c r="AV23" s="543"/>
      <c r="AW23" s="543"/>
      <c r="AX23" s="543"/>
      <c r="AY23" s="543"/>
      <c r="AZ23" s="543"/>
      <c r="BA23" s="543"/>
      <c r="BB23" s="543"/>
      <c r="BC23" s="543"/>
      <c r="BD23" s="543"/>
      <c r="BE23" s="543"/>
      <c r="BF23" s="543"/>
      <c r="BG23" s="543"/>
      <c r="BH23" s="543"/>
      <c r="BI23" s="543"/>
      <c r="BJ23" s="543"/>
      <c r="BK23" s="543"/>
      <c r="BL23" s="543"/>
      <c r="BM23" s="543"/>
      <c r="BN23" s="543"/>
      <c r="BO23" s="543"/>
      <c r="BP23" s="543"/>
      <c r="BQ23" s="543"/>
      <c r="BR23" s="543"/>
      <c r="BS23" s="543"/>
    </row>
    <row r="24" spans="1:71" s="512" customFormat="1" ht="16.8" thickBot="1">
      <c r="D24" s="518" t="s">
        <v>307</v>
      </c>
      <c r="E24" s="544"/>
      <c r="F24" s="544"/>
      <c r="G24" s="544"/>
      <c r="H24" s="544"/>
      <c r="I24" s="544"/>
      <c r="J24" s="519"/>
      <c r="K24" s="544"/>
      <c r="L24" s="544"/>
      <c r="M24" s="544"/>
      <c r="N24" s="544"/>
      <c r="O24" s="544"/>
      <c r="P24" s="544"/>
      <c r="Q24" s="545"/>
      <c r="R24" s="518" t="s">
        <v>385</v>
      </c>
      <c r="S24" s="544"/>
      <c r="T24" s="544"/>
      <c r="U24" s="544"/>
      <c r="V24" s="544"/>
      <c r="W24" s="544"/>
      <c r="X24" s="519"/>
      <c r="Y24" s="544"/>
      <c r="Z24" s="544"/>
      <c r="AA24" s="544"/>
      <c r="AB24" s="544"/>
      <c r="AC24" s="544"/>
      <c r="AD24" s="544"/>
      <c r="AE24" s="545"/>
      <c r="AF24" s="518" t="s">
        <v>390</v>
      </c>
      <c r="AG24" s="544"/>
      <c r="AH24" s="544"/>
      <c r="AI24" s="544"/>
      <c r="AJ24" s="544"/>
      <c r="AK24" s="544"/>
      <c r="AL24" s="519"/>
      <c r="AM24" s="544"/>
      <c r="AN24" s="544"/>
      <c r="AO24" s="544"/>
      <c r="AP24" s="544"/>
      <c r="AQ24" s="544"/>
      <c r="AR24" s="544"/>
      <c r="AS24" s="545"/>
      <c r="AT24" s="518" t="s">
        <v>568</v>
      </c>
      <c r="AU24" s="544"/>
      <c r="AV24" s="544"/>
      <c r="AW24" s="544"/>
      <c r="AX24" s="544"/>
      <c r="AY24" s="544"/>
      <c r="AZ24" s="519"/>
      <c r="BA24" s="544"/>
      <c r="BB24" s="544"/>
      <c r="BC24" s="544"/>
      <c r="BD24" s="544"/>
      <c r="BE24" s="544"/>
      <c r="BF24" s="545"/>
      <c r="BG24" s="518" t="s">
        <v>565</v>
      </c>
      <c r="BH24" s="544"/>
      <c r="BI24" s="544"/>
      <c r="BJ24" s="544"/>
      <c r="BK24" s="544"/>
      <c r="BL24" s="544"/>
      <c r="BM24" s="519"/>
      <c r="BN24" s="544"/>
      <c r="BO24" s="544"/>
      <c r="BP24" s="544"/>
      <c r="BQ24" s="544"/>
      <c r="BR24" s="544"/>
      <c r="BS24" s="545"/>
    </row>
    <row r="25" spans="1:71" s="512" customFormat="1">
      <c r="A25" s="546" t="s">
        <v>338</v>
      </c>
      <c r="B25" s="522" t="s">
        <v>51</v>
      </c>
      <c r="C25" s="523" t="s">
        <v>309</v>
      </c>
      <c r="D25" s="547" t="s">
        <v>310</v>
      </c>
      <c r="E25" s="548" t="s">
        <v>311</v>
      </c>
      <c r="F25" s="548" t="s">
        <v>312</v>
      </c>
      <c r="G25" s="548" t="s">
        <v>313</v>
      </c>
      <c r="H25" s="548" t="s">
        <v>314</v>
      </c>
      <c r="I25" s="548" t="s">
        <v>315</v>
      </c>
      <c r="J25" s="548" t="s">
        <v>316</v>
      </c>
      <c r="K25" s="548" t="s">
        <v>317</v>
      </c>
      <c r="L25" s="548" t="s">
        <v>318</v>
      </c>
      <c r="M25" s="548" t="s">
        <v>319</v>
      </c>
      <c r="N25" s="548" t="s">
        <v>320</v>
      </c>
      <c r="O25" s="548" t="s">
        <v>321</v>
      </c>
      <c r="P25" s="548" t="s">
        <v>373</v>
      </c>
      <c r="Q25" s="526" t="s">
        <v>322</v>
      </c>
      <c r="R25" s="547" t="s">
        <v>310</v>
      </c>
      <c r="S25" s="548" t="s">
        <v>311</v>
      </c>
      <c r="T25" s="548" t="s">
        <v>312</v>
      </c>
      <c r="U25" s="548" t="s">
        <v>313</v>
      </c>
      <c r="V25" s="548" t="s">
        <v>314</v>
      </c>
      <c r="W25" s="548" t="s">
        <v>315</v>
      </c>
      <c r="X25" s="548" t="s">
        <v>316</v>
      </c>
      <c r="Y25" s="548" t="s">
        <v>317</v>
      </c>
      <c r="Z25" s="548" t="s">
        <v>318</v>
      </c>
      <c r="AA25" s="548" t="s">
        <v>319</v>
      </c>
      <c r="AB25" s="548" t="s">
        <v>320</v>
      </c>
      <c r="AC25" s="548" t="s">
        <v>321</v>
      </c>
      <c r="AD25" s="548" t="s">
        <v>457</v>
      </c>
      <c r="AE25" s="526" t="s">
        <v>384</v>
      </c>
      <c r="AF25" s="547" t="s">
        <v>310</v>
      </c>
      <c r="AG25" s="548" t="s">
        <v>311</v>
      </c>
      <c r="AH25" s="548" t="s">
        <v>312</v>
      </c>
      <c r="AI25" s="548" t="s">
        <v>313</v>
      </c>
      <c r="AJ25" s="548" t="s">
        <v>314</v>
      </c>
      <c r="AK25" s="548" t="s">
        <v>315</v>
      </c>
      <c r="AL25" s="548" t="s">
        <v>316</v>
      </c>
      <c r="AM25" s="548" t="s">
        <v>317</v>
      </c>
      <c r="AN25" s="548" t="s">
        <v>318</v>
      </c>
      <c r="AO25" s="548" t="s">
        <v>319</v>
      </c>
      <c r="AP25" s="548" t="s">
        <v>320</v>
      </c>
      <c r="AQ25" s="548" t="s">
        <v>321</v>
      </c>
      <c r="AR25" s="548" t="s">
        <v>494</v>
      </c>
      <c r="AS25" s="526" t="s">
        <v>391</v>
      </c>
      <c r="AT25" s="547" t="s">
        <v>310</v>
      </c>
      <c r="AU25" s="548" t="s">
        <v>311</v>
      </c>
      <c r="AV25" s="548" t="s">
        <v>312</v>
      </c>
      <c r="AW25" s="548" t="s">
        <v>313</v>
      </c>
      <c r="AX25" s="548" t="s">
        <v>314</v>
      </c>
      <c r="AY25" s="548" t="s">
        <v>315</v>
      </c>
      <c r="AZ25" s="548" t="s">
        <v>316</v>
      </c>
      <c r="BA25" s="548" t="s">
        <v>317</v>
      </c>
      <c r="BB25" s="548" t="s">
        <v>318</v>
      </c>
      <c r="BC25" s="548" t="s">
        <v>319</v>
      </c>
      <c r="BD25" s="548" t="s">
        <v>320</v>
      </c>
      <c r="BE25" s="548" t="s">
        <v>321</v>
      </c>
      <c r="BF25" s="526" t="s">
        <v>566</v>
      </c>
      <c r="BG25" s="547" t="s">
        <v>310</v>
      </c>
      <c r="BH25" s="548" t="s">
        <v>311</v>
      </c>
      <c r="BI25" s="548" t="s">
        <v>312</v>
      </c>
      <c r="BJ25" s="548" t="s">
        <v>313</v>
      </c>
      <c r="BK25" s="548" t="s">
        <v>314</v>
      </c>
      <c r="BL25" s="548" t="s">
        <v>315</v>
      </c>
      <c r="BM25" s="548" t="s">
        <v>316</v>
      </c>
      <c r="BN25" s="548" t="s">
        <v>317</v>
      </c>
      <c r="BO25" s="548" t="s">
        <v>318</v>
      </c>
      <c r="BP25" s="548" t="s">
        <v>319</v>
      </c>
      <c r="BQ25" s="548" t="s">
        <v>320</v>
      </c>
      <c r="BR25" s="548" t="s">
        <v>321</v>
      </c>
      <c r="BS25" s="526" t="s">
        <v>567</v>
      </c>
    </row>
    <row r="26" spans="1:71" ht="15" customHeight="1">
      <c r="A26" s="527" t="s">
        <v>4</v>
      </c>
      <c r="B26" s="521" t="s">
        <v>53</v>
      </c>
      <c r="C26" s="529" t="s">
        <v>52</v>
      </c>
      <c r="D26" s="530">
        <v>2550278.2199999993</v>
      </c>
      <c r="E26" s="531">
        <v>186813.43999999997</v>
      </c>
      <c r="F26" s="531">
        <v>169161.03</v>
      </c>
      <c r="G26" s="531">
        <v>161250.69</v>
      </c>
      <c r="H26" s="531">
        <v>133538.00999999998</v>
      </c>
      <c r="I26" s="531">
        <v>222450.41999999998</v>
      </c>
      <c r="J26" s="531">
        <v>136098.25</v>
      </c>
      <c r="K26" s="531">
        <v>186096.02999999988</v>
      </c>
      <c r="L26" s="531">
        <v>6482479.3700000029</v>
      </c>
      <c r="M26" s="531">
        <v>2950514.2600000002</v>
      </c>
      <c r="N26" s="531">
        <v>4422970.5199999996</v>
      </c>
      <c r="O26" s="531">
        <v>4244092.3399999989</v>
      </c>
      <c r="P26" s="549">
        <v>7216875.4199999981</v>
      </c>
      <c r="Q26" s="550">
        <v>29062618</v>
      </c>
      <c r="R26" s="530">
        <v>3613382.95</v>
      </c>
      <c r="S26" s="531">
        <v>247703</v>
      </c>
      <c r="T26" s="531">
        <v>-312268</v>
      </c>
      <c r="U26" s="531">
        <v>178401</v>
      </c>
      <c r="V26" s="531">
        <v>234687</v>
      </c>
      <c r="W26" s="531">
        <v>6554072</v>
      </c>
      <c r="X26" s="531">
        <v>4327102</v>
      </c>
      <c r="Y26" s="531">
        <v>4691435</v>
      </c>
      <c r="Z26" s="531">
        <v>3582073.0300000012</v>
      </c>
      <c r="AA26" s="531">
        <v>4706255</v>
      </c>
      <c r="AB26" s="531">
        <v>4460673.3499999996</v>
      </c>
      <c r="AC26" s="531">
        <v>6425354</v>
      </c>
      <c r="AD26" s="549">
        <f>AE26-R26-S26-T26-U26-V26-W26-X26-Y26-Z26-AA26-AB26-AC26</f>
        <v>-11145015.33</v>
      </c>
      <c r="AE26" s="550">
        <v>27563855</v>
      </c>
      <c r="AF26" s="530">
        <v>3507210.2400000007</v>
      </c>
      <c r="AG26" s="531">
        <f>227015.35+34</f>
        <v>227049.35</v>
      </c>
      <c r="AH26" s="531">
        <v>172966.38999999998</v>
      </c>
      <c r="AI26" s="531">
        <f>152903.93-34</f>
        <v>152869.93</v>
      </c>
      <c r="AJ26" s="531">
        <v>141820.14000000013</v>
      </c>
      <c r="AK26" s="531">
        <v>370974.99</v>
      </c>
      <c r="AL26" s="531">
        <v>298460.31999999989</v>
      </c>
      <c r="AM26" s="531">
        <v>3586700.6399999992</v>
      </c>
      <c r="AN26" s="531">
        <v>17069274.770000003</v>
      </c>
      <c r="AO26" s="531">
        <v>4820323</v>
      </c>
      <c r="AP26" s="531">
        <v>3849517.57</v>
      </c>
      <c r="AQ26" s="531">
        <v>4099317.59</v>
      </c>
      <c r="AR26" s="549">
        <f t="shared" ref="AR26:AR47" si="20">AS26-AF26-AG26-AH26-AI26-AJ26-AK26-AL26-AM26-AN26-AO26-AP26-AQ26</f>
        <v>-5269468.9300000072</v>
      </c>
      <c r="AS26" s="550">
        <v>33027016</v>
      </c>
      <c r="AT26" s="530">
        <v>3297703</v>
      </c>
      <c r="AU26" s="531">
        <v>299009.90000000002</v>
      </c>
      <c r="AV26" s="531">
        <v>61047</v>
      </c>
      <c r="AW26" s="531">
        <v>239238</v>
      </c>
      <c r="AX26" s="531">
        <f t="shared" ref="AX26:AX47" si="21">(BF26-AT26-AU26-AV26-AW26)/8</f>
        <v>4461516.3875000002</v>
      </c>
      <c r="AY26" s="531">
        <f t="shared" ref="AY26:BE41" si="22">AX26</f>
        <v>4461516.3875000002</v>
      </c>
      <c r="AZ26" s="531">
        <f t="shared" si="22"/>
        <v>4461516.3875000002</v>
      </c>
      <c r="BA26" s="531">
        <f t="shared" si="22"/>
        <v>4461516.3875000002</v>
      </c>
      <c r="BB26" s="531">
        <f t="shared" si="22"/>
        <v>4461516.3875000002</v>
      </c>
      <c r="BC26" s="531">
        <f t="shared" si="22"/>
        <v>4461516.3875000002</v>
      </c>
      <c r="BD26" s="531">
        <f t="shared" si="22"/>
        <v>4461516.3875000002</v>
      </c>
      <c r="BE26" s="531">
        <f t="shared" si="22"/>
        <v>4461516.3875000002</v>
      </c>
      <c r="BF26" s="550">
        <v>39589129</v>
      </c>
      <c r="BG26" s="530">
        <f t="shared" ref="BG26:BG47" si="23">BS26/12</f>
        <v>3323084.0833333335</v>
      </c>
      <c r="BH26" s="531">
        <f t="shared" ref="BH26:BR41" si="24">BG26</f>
        <v>3323084.0833333335</v>
      </c>
      <c r="BI26" s="531">
        <f t="shared" si="24"/>
        <v>3323084.0833333335</v>
      </c>
      <c r="BJ26" s="531">
        <f t="shared" si="24"/>
        <v>3323084.0833333335</v>
      </c>
      <c r="BK26" s="531">
        <f t="shared" si="24"/>
        <v>3323084.0833333335</v>
      </c>
      <c r="BL26" s="531">
        <f t="shared" si="24"/>
        <v>3323084.0833333335</v>
      </c>
      <c r="BM26" s="531">
        <f t="shared" si="24"/>
        <v>3323084.0833333335</v>
      </c>
      <c r="BN26" s="531">
        <f t="shared" si="24"/>
        <v>3323084.0833333335</v>
      </c>
      <c r="BO26" s="531">
        <f t="shared" si="24"/>
        <v>3323084.0833333335</v>
      </c>
      <c r="BP26" s="531">
        <f t="shared" si="24"/>
        <v>3323084.0833333335</v>
      </c>
      <c r="BQ26" s="531">
        <f t="shared" si="24"/>
        <v>3323084.0833333335</v>
      </c>
      <c r="BR26" s="531">
        <f t="shared" si="24"/>
        <v>3323084.0833333335</v>
      </c>
      <c r="BS26" s="550">
        <v>39877009</v>
      </c>
    </row>
    <row r="27" spans="1:71" ht="15" customHeight="1">
      <c r="A27" s="527"/>
      <c r="B27" s="521" t="s">
        <v>55</v>
      </c>
      <c r="C27" s="529" t="s">
        <v>54</v>
      </c>
      <c r="D27" s="530">
        <v>91791.610000000015</v>
      </c>
      <c r="E27" s="531">
        <v>101117.52</v>
      </c>
      <c r="F27" s="531">
        <v>107195.92000000001</v>
      </c>
      <c r="G27" s="531">
        <v>103863.15</v>
      </c>
      <c r="H27" s="531">
        <v>104219.64000000001</v>
      </c>
      <c r="I27" s="531">
        <v>109513.35000000002</v>
      </c>
      <c r="J27" s="531">
        <v>104994.46</v>
      </c>
      <c r="K27" s="531">
        <v>105220.13999999997</v>
      </c>
      <c r="L27" s="531">
        <v>226273.1</v>
      </c>
      <c r="M27" s="531">
        <v>106100.98</v>
      </c>
      <c r="N27" s="531">
        <v>96455.910000000033</v>
      </c>
      <c r="O27" s="531">
        <v>152877.47999999998</v>
      </c>
      <c r="P27" s="531">
        <v>119468.73999999976</v>
      </c>
      <c r="Q27" s="550">
        <v>1529092</v>
      </c>
      <c r="R27" s="530">
        <v>104414.93000000002</v>
      </c>
      <c r="S27" s="531">
        <v>101101</v>
      </c>
      <c r="T27" s="531">
        <v>90173</v>
      </c>
      <c r="U27" s="531">
        <v>106824</v>
      </c>
      <c r="V27" s="531">
        <v>107720</v>
      </c>
      <c r="W27" s="531">
        <v>190352</v>
      </c>
      <c r="X27" s="531">
        <v>125209</v>
      </c>
      <c r="Y27" s="531">
        <v>135850</v>
      </c>
      <c r="Z27" s="531">
        <v>96201.819999999978</v>
      </c>
      <c r="AA27" s="531">
        <v>136187</v>
      </c>
      <c r="AB27" s="531">
        <v>134057.14000000031</v>
      </c>
      <c r="AC27" s="531">
        <v>123898</v>
      </c>
      <c r="AD27" s="531">
        <f t="shared" ref="AD27:AD45" si="25">AE27-R27-S27-T27-U27-V27-W27-X27-Y27-Z27-AA27-AB27-AC27</f>
        <v>31709.109999999811</v>
      </c>
      <c r="AE27" s="550">
        <v>1483697</v>
      </c>
      <c r="AF27" s="530">
        <v>106065.77</v>
      </c>
      <c r="AG27" s="531">
        <v>107437.43999999999</v>
      </c>
      <c r="AH27" s="531">
        <v>106160.53000000001</v>
      </c>
      <c r="AI27" s="531">
        <v>114635.31999999999</v>
      </c>
      <c r="AJ27" s="531">
        <v>107843.54000000002</v>
      </c>
      <c r="AK27" s="531">
        <v>109896.82999999999</v>
      </c>
      <c r="AL27" s="531">
        <v>153301.56999999998</v>
      </c>
      <c r="AM27" s="531">
        <v>108284.67000000001</v>
      </c>
      <c r="AN27" s="531">
        <v>260589.11000000007</v>
      </c>
      <c r="AO27" s="531">
        <v>145748</v>
      </c>
      <c r="AP27" s="531">
        <v>133548.02000000008</v>
      </c>
      <c r="AQ27" s="531">
        <v>110735</v>
      </c>
      <c r="AR27" s="531">
        <f t="shared" si="20"/>
        <v>33184.199999999779</v>
      </c>
      <c r="AS27" s="550">
        <v>1597430</v>
      </c>
      <c r="AT27" s="530">
        <v>105490</v>
      </c>
      <c r="AU27" s="531">
        <v>114955</v>
      </c>
      <c r="AV27" s="531">
        <v>119088</v>
      </c>
      <c r="AW27" s="531">
        <v>107903</v>
      </c>
      <c r="AX27" s="531">
        <f t="shared" si="21"/>
        <v>156461.5</v>
      </c>
      <c r="AY27" s="531">
        <f t="shared" si="22"/>
        <v>156461.5</v>
      </c>
      <c r="AZ27" s="531">
        <f t="shared" si="22"/>
        <v>156461.5</v>
      </c>
      <c r="BA27" s="531">
        <f t="shared" si="22"/>
        <v>156461.5</v>
      </c>
      <c r="BB27" s="531">
        <f t="shared" si="22"/>
        <v>156461.5</v>
      </c>
      <c r="BC27" s="531">
        <f t="shared" si="22"/>
        <v>156461.5</v>
      </c>
      <c r="BD27" s="531">
        <f t="shared" si="22"/>
        <v>156461.5</v>
      </c>
      <c r="BE27" s="531">
        <f t="shared" si="22"/>
        <v>156461.5</v>
      </c>
      <c r="BF27" s="550">
        <v>1699128</v>
      </c>
      <c r="BG27" s="530">
        <f t="shared" si="23"/>
        <v>117604</v>
      </c>
      <c r="BH27" s="531">
        <f t="shared" si="24"/>
        <v>117604</v>
      </c>
      <c r="BI27" s="531">
        <f t="shared" si="24"/>
        <v>117604</v>
      </c>
      <c r="BJ27" s="531">
        <f t="shared" si="24"/>
        <v>117604</v>
      </c>
      <c r="BK27" s="531">
        <f t="shared" si="24"/>
        <v>117604</v>
      </c>
      <c r="BL27" s="531">
        <f t="shared" si="24"/>
        <v>117604</v>
      </c>
      <c r="BM27" s="531">
        <f t="shared" si="24"/>
        <v>117604</v>
      </c>
      <c r="BN27" s="531">
        <f t="shared" si="24"/>
        <v>117604</v>
      </c>
      <c r="BO27" s="531">
        <f t="shared" si="24"/>
        <v>117604</v>
      </c>
      <c r="BP27" s="531">
        <f t="shared" si="24"/>
        <v>117604</v>
      </c>
      <c r="BQ27" s="531">
        <f t="shared" si="24"/>
        <v>117604</v>
      </c>
      <c r="BR27" s="531">
        <f t="shared" si="24"/>
        <v>117604</v>
      </c>
      <c r="BS27" s="550">
        <v>1411248</v>
      </c>
    </row>
    <row r="28" spans="1:71" s="557" customFormat="1">
      <c r="A28" s="551" t="s">
        <v>339</v>
      </c>
      <c r="B28" s="552"/>
      <c r="C28" s="553"/>
      <c r="D28" s="554">
        <f t="shared" ref="D28:AT28" si="26">SUM(D26:D27)</f>
        <v>2642069.8299999991</v>
      </c>
      <c r="E28" s="555">
        <f t="shared" si="26"/>
        <v>287930.95999999996</v>
      </c>
      <c r="F28" s="555">
        <f t="shared" si="26"/>
        <v>276356.95</v>
      </c>
      <c r="G28" s="555">
        <f t="shared" si="26"/>
        <v>265113.83999999997</v>
      </c>
      <c r="H28" s="555">
        <f t="shared" si="26"/>
        <v>237757.65</v>
      </c>
      <c r="I28" s="555">
        <f t="shared" si="26"/>
        <v>331963.77</v>
      </c>
      <c r="J28" s="555">
        <f t="shared" si="26"/>
        <v>241092.71000000002</v>
      </c>
      <c r="K28" s="555">
        <f t="shared" si="26"/>
        <v>291316.16999999987</v>
      </c>
      <c r="L28" s="555">
        <f t="shared" si="26"/>
        <v>6708752.4700000025</v>
      </c>
      <c r="M28" s="555">
        <f t="shared" si="26"/>
        <v>3056615.24</v>
      </c>
      <c r="N28" s="555">
        <f t="shared" si="26"/>
        <v>4519426.43</v>
      </c>
      <c r="O28" s="555">
        <f t="shared" si="26"/>
        <v>4396969.8199999984</v>
      </c>
      <c r="P28" s="555">
        <f t="shared" si="26"/>
        <v>7336344.1599999983</v>
      </c>
      <c r="Q28" s="556">
        <f t="shared" si="26"/>
        <v>30591710</v>
      </c>
      <c r="R28" s="554">
        <f t="shared" si="26"/>
        <v>3717797.8800000004</v>
      </c>
      <c r="S28" s="555">
        <f t="shared" si="26"/>
        <v>348804</v>
      </c>
      <c r="T28" s="555">
        <f t="shared" si="26"/>
        <v>-222095</v>
      </c>
      <c r="U28" s="555">
        <f t="shared" si="26"/>
        <v>285225</v>
      </c>
      <c r="V28" s="555">
        <f t="shared" si="26"/>
        <v>342407</v>
      </c>
      <c r="W28" s="555">
        <f t="shared" si="26"/>
        <v>6744424</v>
      </c>
      <c r="X28" s="555">
        <f t="shared" si="26"/>
        <v>4452311</v>
      </c>
      <c r="Y28" s="555">
        <f t="shared" si="26"/>
        <v>4827285</v>
      </c>
      <c r="Z28" s="555">
        <f t="shared" si="26"/>
        <v>3678274.850000001</v>
      </c>
      <c r="AA28" s="555">
        <f t="shared" si="26"/>
        <v>4842442</v>
      </c>
      <c r="AB28" s="555">
        <f t="shared" si="26"/>
        <v>4594730.49</v>
      </c>
      <c r="AC28" s="555">
        <f t="shared" si="26"/>
        <v>6549252</v>
      </c>
      <c r="AD28" s="555">
        <f t="shared" si="26"/>
        <v>-11113306.220000001</v>
      </c>
      <c r="AE28" s="556">
        <f>SUM(AE26:AE27)</f>
        <v>29047552</v>
      </c>
      <c r="AF28" s="554">
        <f t="shared" si="26"/>
        <v>3613276.0100000007</v>
      </c>
      <c r="AG28" s="555">
        <f t="shared" si="26"/>
        <v>334486.78999999998</v>
      </c>
      <c r="AH28" s="555">
        <f t="shared" si="26"/>
        <v>279126.92</v>
      </c>
      <c r="AI28" s="555">
        <f t="shared" si="26"/>
        <v>267505.25</v>
      </c>
      <c r="AJ28" s="555">
        <f t="shared" si="26"/>
        <v>249663.68000000017</v>
      </c>
      <c r="AK28" s="555">
        <f t="shared" si="26"/>
        <v>480871.81999999995</v>
      </c>
      <c r="AL28" s="555">
        <f t="shared" si="26"/>
        <v>451761.8899999999</v>
      </c>
      <c r="AM28" s="555">
        <f t="shared" si="26"/>
        <v>3694985.3099999991</v>
      </c>
      <c r="AN28" s="555">
        <f t="shared" si="26"/>
        <v>17329863.880000003</v>
      </c>
      <c r="AO28" s="555">
        <f t="shared" si="26"/>
        <v>4966071</v>
      </c>
      <c r="AP28" s="555">
        <f>SUM(AP26:AP27)</f>
        <v>3983065.59</v>
      </c>
      <c r="AQ28" s="555">
        <f>SUM(AQ26:AQ27)</f>
        <v>4210052.59</v>
      </c>
      <c r="AR28" s="555">
        <f t="shared" si="20"/>
        <v>-5236284.7300000042</v>
      </c>
      <c r="AS28" s="556">
        <f t="shared" si="26"/>
        <v>34624446</v>
      </c>
      <c r="AT28" s="554">
        <f t="shared" si="26"/>
        <v>3403193</v>
      </c>
      <c r="AU28" s="555">
        <f>SUM(AU26:AU27)</f>
        <v>413964.9</v>
      </c>
      <c r="AV28" s="555">
        <f>SUM(AV26:AV27)</f>
        <v>180135</v>
      </c>
      <c r="AW28" s="555">
        <f>SUM(AW26:AW27)</f>
        <v>347141</v>
      </c>
      <c r="AX28" s="555">
        <f t="shared" si="21"/>
        <v>4617977.8875000002</v>
      </c>
      <c r="AY28" s="555">
        <f t="shared" si="22"/>
        <v>4617977.8875000002</v>
      </c>
      <c r="AZ28" s="555">
        <f t="shared" si="22"/>
        <v>4617977.8875000002</v>
      </c>
      <c r="BA28" s="555">
        <f t="shared" si="22"/>
        <v>4617977.8875000002</v>
      </c>
      <c r="BB28" s="555">
        <f t="shared" si="22"/>
        <v>4617977.8875000002</v>
      </c>
      <c r="BC28" s="555">
        <f t="shared" si="22"/>
        <v>4617977.8875000002</v>
      </c>
      <c r="BD28" s="555">
        <f t="shared" si="22"/>
        <v>4617977.8875000002</v>
      </c>
      <c r="BE28" s="555">
        <f t="shared" si="22"/>
        <v>4617977.8875000002</v>
      </c>
      <c r="BF28" s="556">
        <f t="shared" ref="BF28" si="27">SUM(BF26:BF27)</f>
        <v>41288257</v>
      </c>
      <c r="BG28" s="554">
        <f t="shared" si="23"/>
        <v>3440688.0833333335</v>
      </c>
      <c r="BH28" s="555">
        <f t="shared" si="24"/>
        <v>3440688.0833333335</v>
      </c>
      <c r="BI28" s="555">
        <f t="shared" si="24"/>
        <v>3440688.0833333335</v>
      </c>
      <c r="BJ28" s="555">
        <f t="shared" si="24"/>
        <v>3440688.0833333335</v>
      </c>
      <c r="BK28" s="555">
        <f t="shared" si="24"/>
        <v>3440688.0833333335</v>
      </c>
      <c r="BL28" s="555">
        <f t="shared" si="24"/>
        <v>3440688.0833333335</v>
      </c>
      <c r="BM28" s="555">
        <f t="shared" si="24"/>
        <v>3440688.0833333335</v>
      </c>
      <c r="BN28" s="555">
        <f t="shared" si="24"/>
        <v>3440688.0833333335</v>
      </c>
      <c r="BO28" s="555">
        <f t="shared" si="24"/>
        <v>3440688.0833333335</v>
      </c>
      <c r="BP28" s="555">
        <f t="shared" si="24"/>
        <v>3440688.0833333335</v>
      </c>
      <c r="BQ28" s="555">
        <f t="shared" si="24"/>
        <v>3440688.0833333335</v>
      </c>
      <c r="BR28" s="555">
        <f t="shared" si="24"/>
        <v>3440688.0833333335</v>
      </c>
      <c r="BS28" s="556">
        <v>41288257</v>
      </c>
    </row>
    <row r="29" spans="1:71" ht="15" customHeight="1">
      <c r="A29" s="527" t="s">
        <v>200</v>
      </c>
      <c r="B29" s="521" t="s">
        <v>492</v>
      </c>
      <c r="C29" s="529" t="s">
        <v>493</v>
      </c>
      <c r="D29" s="530"/>
      <c r="E29" s="531"/>
      <c r="F29" s="531"/>
      <c r="G29" s="531"/>
      <c r="H29" s="531"/>
      <c r="I29" s="531"/>
      <c r="J29" s="531"/>
      <c r="K29" s="531"/>
      <c r="L29" s="531"/>
      <c r="M29" s="531"/>
      <c r="N29" s="531"/>
      <c r="O29" s="531"/>
      <c r="P29" s="531">
        <v>0</v>
      </c>
      <c r="Q29" s="550">
        <v>0</v>
      </c>
      <c r="R29" s="530">
        <v>0</v>
      </c>
      <c r="S29" s="531">
        <v>0</v>
      </c>
      <c r="T29" s="531">
        <v>0</v>
      </c>
      <c r="U29" s="531">
        <v>0</v>
      </c>
      <c r="V29" s="531">
        <v>0</v>
      </c>
      <c r="W29" s="531">
        <v>0</v>
      </c>
      <c r="X29" s="531">
        <v>0</v>
      </c>
      <c r="Y29" s="531">
        <v>0</v>
      </c>
      <c r="Z29" s="531">
        <v>0</v>
      </c>
      <c r="AA29" s="531">
        <v>0</v>
      </c>
      <c r="AB29" s="531">
        <v>0</v>
      </c>
      <c r="AC29" s="531">
        <v>0</v>
      </c>
      <c r="AD29" s="531">
        <f t="shared" si="25"/>
        <v>10300177</v>
      </c>
      <c r="AE29" s="550">
        <v>10300177</v>
      </c>
      <c r="AF29" s="530">
        <v>0</v>
      </c>
      <c r="AG29" s="531">
        <v>0</v>
      </c>
      <c r="AH29" s="531">
        <v>0</v>
      </c>
      <c r="AI29" s="531">
        <v>0</v>
      </c>
      <c r="AJ29" s="531">
        <v>0</v>
      </c>
      <c r="AK29" s="531">
        <v>0</v>
      </c>
      <c r="AL29" s="531">
        <v>0</v>
      </c>
      <c r="AM29" s="531">
        <v>0</v>
      </c>
      <c r="AN29" s="531">
        <v>0</v>
      </c>
      <c r="AO29" s="531">
        <v>0</v>
      </c>
      <c r="AP29" s="531">
        <v>0</v>
      </c>
      <c r="AQ29" s="531">
        <v>6411825.7800000003</v>
      </c>
      <c r="AR29" s="531">
        <f t="shared" si="20"/>
        <v>0.21999999973922968</v>
      </c>
      <c r="AS29" s="550">
        <v>6411826</v>
      </c>
      <c r="AT29" s="530">
        <v>0</v>
      </c>
      <c r="AU29" s="531">
        <f t="shared" ref="AU29:AU39" si="28">(BF29-AT29)/11</f>
        <v>0</v>
      </c>
      <c r="AV29" s="531">
        <f t="shared" ref="AV29:AV39" si="29">(BF29-AT29-AU29)/10</f>
        <v>0</v>
      </c>
      <c r="AW29" s="531">
        <f t="shared" ref="AW29:AW39" si="30">(BF29-AT29-AU29-AV29)/9</f>
        <v>0</v>
      </c>
      <c r="AX29" s="531">
        <f t="shared" si="21"/>
        <v>0</v>
      </c>
      <c r="AY29" s="531">
        <f t="shared" si="22"/>
        <v>0</v>
      </c>
      <c r="AZ29" s="531">
        <f t="shared" si="22"/>
        <v>0</v>
      </c>
      <c r="BA29" s="531">
        <f t="shared" si="22"/>
        <v>0</v>
      </c>
      <c r="BB29" s="531">
        <f t="shared" si="22"/>
        <v>0</v>
      </c>
      <c r="BC29" s="531">
        <f t="shared" si="22"/>
        <v>0</v>
      </c>
      <c r="BD29" s="531">
        <f t="shared" si="22"/>
        <v>0</v>
      </c>
      <c r="BE29" s="531">
        <f t="shared" si="22"/>
        <v>0</v>
      </c>
      <c r="BF29" s="550">
        <v>0</v>
      </c>
      <c r="BG29" s="530">
        <f t="shared" si="23"/>
        <v>0</v>
      </c>
      <c r="BH29" s="531">
        <f t="shared" si="24"/>
        <v>0</v>
      </c>
      <c r="BI29" s="531">
        <f t="shared" si="24"/>
        <v>0</v>
      </c>
      <c r="BJ29" s="531">
        <f t="shared" si="24"/>
        <v>0</v>
      </c>
      <c r="BK29" s="531">
        <f t="shared" si="24"/>
        <v>0</v>
      </c>
      <c r="BL29" s="531">
        <f t="shared" si="24"/>
        <v>0</v>
      </c>
      <c r="BM29" s="531">
        <f t="shared" si="24"/>
        <v>0</v>
      </c>
      <c r="BN29" s="531">
        <f t="shared" si="24"/>
        <v>0</v>
      </c>
      <c r="BO29" s="531">
        <f t="shared" si="24"/>
        <v>0</v>
      </c>
      <c r="BP29" s="531">
        <f t="shared" si="24"/>
        <v>0</v>
      </c>
      <c r="BQ29" s="531">
        <f t="shared" si="24"/>
        <v>0</v>
      </c>
      <c r="BR29" s="531">
        <f t="shared" si="24"/>
        <v>0</v>
      </c>
      <c r="BS29" s="550">
        <v>0</v>
      </c>
    </row>
    <row r="30" spans="1:71" ht="15" customHeight="1">
      <c r="A30" s="527"/>
      <c r="B30" s="521" t="s">
        <v>119</v>
      </c>
      <c r="C30" s="529" t="s">
        <v>340</v>
      </c>
      <c r="D30" s="530"/>
      <c r="E30" s="531"/>
      <c r="F30" s="531"/>
      <c r="G30" s="531"/>
      <c r="H30" s="531"/>
      <c r="I30" s="531"/>
      <c r="J30" s="531"/>
      <c r="K30" s="531"/>
      <c r="L30" s="531"/>
      <c r="M30" s="531"/>
      <c r="N30" s="531"/>
      <c r="O30" s="531"/>
      <c r="P30" s="531">
        <v>0</v>
      </c>
      <c r="Q30" s="550">
        <v>0</v>
      </c>
      <c r="R30" s="530">
        <v>0</v>
      </c>
      <c r="S30" s="531">
        <v>0</v>
      </c>
      <c r="T30" s="531">
        <v>0</v>
      </c>
      <c r="U30" s="531">
        <v>0</v>
      </c>
      <c r="V30" s="531">
        <v>0</v>
      </c>
      <c r="W30" s="531">
        <v>0</v>
      </c>
      <c r="X30" s="531">
        <v>0</v>
      </c>
      <c r="Y30" s="531">
        <v>0</v>
      </c>
      <c r="Z30" s="531">
        <v>0</v>
      </c>
      <c r="AA30" s="531">
        <v>0</v>
      </c>
      <c r="AB30" s="531">
        <v>0</v>
      </c>
      <c r="AC30" s="531">
        <v>0</v>
      </c>
      <c r="AD30" s="531">
        <f t="shared" si="25"/>
        <v>0</v>
      </c>
      <c r="AE30" s="550">
        <v>0</v>
      </c>
      <c r="AF30" s="530">
        <v>0</v>
      </c>
      <c r="AG30" s="531">
        <f t="shared" ref="AG30:AG39" si="31">(AS30-AF30)/11</f>
        <v>0</v>
      </c>
      <c r="AH30" s="531">
        <f t="shared" ref="AH30:AH45" si="32">(AS30-AF30-AG30)/10</f>
        <v>0</v>
      </c>
      <c r="AI30" s="531">
        <f t="shared" ref="AI30:AI45" si="33">(AS30-AF30-AG30-AH30)/9</f>
        <v>0</v>
      </c>
      <c r="AJ30" s="531">
        <f t="shared" ref="AJ30:AJ45" si="34">(AS30-AF30-AG30-AH30-AI30)/8</f>
        <v>0</v>
      </c>
      <c r="AK30" s="531">
        <f t="shared" ref="AK30:AK45" si="35">(AS30-AF30-AG30-AH30-AI30-AJ30)/7</f>
        <v>0</v>
      </c>
      <c r="AL30" s="531">
        <f t="shared" ref="AL30:AL45" si="36">(AS30-AF30-AG30-AH30-AI30-AJ30-AK30)/6</f>
        <v>0</v>
      </c>
      <c r="AM30" s="531">
        <f t="shared" ref="AM30:AM45" si="37">(AS30-AF30-AG30-AH30-AI30-AJ30-AK30-AL30)/5</f>
        <v>0</v>
      </c>
      <c r="AN30" s="531">
        <f t="shared" ref="AN30:AN45" si="38">(AS30-AF30-AG30-AH30-AI30-AJ30-AK30-AL30-AM30)/4</f>
        <v>0</v>
      </c>
      <c r="AO30" s="531">
        <f t="shared" ref="AO30:AO45" si="39">(AS30-AF30-AG30-AH30-AI30-AJ30-AK30-AL30-AM30-AN30)/3</f>
        <v>0</v>
      </c>
      <c r="AP30" s="531">
        <f t="shared" ref="AP30:AP45" si="40">(AS30-AF30-AG30-AH30-AI30-AJ30-AK30-AL30-AM30-AN30-AO30)/2</f>
        <v>0</v>
      </c>
      <c r="AQ30" s="531">
        <f t="shared" ref="AQ30:AQ45" si="41">AS30-AF30-AG30-AH30-AI30-AJ30-AK30-AL30-AM30-AN30-AO30-AP30</f>
        <v>0</v>
      </c>
      <c r="AR30" s="531">
        <f t="shared" si="20"/>
        <v>0</v>
      </c>
      <c r="AS30" s="550">
        <v>0</v>
      </c>
      <c r="AT30" s="530">
        <v>0</v>
      </c>
      <c r="AU30" s="531">
        <f t="shared" si="28"/>
        <v>0</v>
      </c>
      <c r="AV30" s="531">
        <f t="shared" si="29"/>
        <v>0</v>
      </c>
      <c r="AW30" s="531">
        <f t="shared" si="30"/>
        <v>0</v>
      </c>
      <c r="AX30" s="531">
        <f t="shared" si="21"/>
        <v>0</v>
      </c>
      <c r="AY30" s="531">
        <f t="shared" si="22"/>
        <v>0</v>
      </c>
      <c r="AZ30" s="531">
        <f t="shared" si="22"/>
        <v>0</v>
      </c>
      <c r="BA30" s="531">
        <f t="shared" si="22"/>
        <v>0</v>
      </c>
      <c r="BB30" s="531">
        <f t="shared" si="22"/>
        <v>0</v>
      </c>
      <c r="BC30" s="531">
        <f t="shared" si="22"/>
        <v>0</v>
      </c>
      <c r="BD30" s="531">
        <f t="shared" si="22"/>
        <v>0</v>
      </c>
      <c r="BE30" s="531">
        <f t="shared" si="22"/>
        <v>0</v>
      </c>
      <c r="BF30" s="550">
        <v>0</v>
      </c>
      <c r="BG30" s="530">
        <f t="shared" si="23"/>
        <v>0</v>
      </c>
      <c r="BH30" s="531">
        <f t="shared" si="24"/>
        <v>0</v>
      </c>
      <c r="BI30" s="531">
        <f t="shared" si="24"/>
        <v>0</v>
      </c>
      <c r="BJ30" s="531">
        <f t="shared" si="24"/>
        <v>0</v>
      </c>
      <c r="BK30" s="531">
        <f t="shared" si="24"/>
        <v>0</v>
      </c>
      <c r="BL30" s="531">
        <f t="shared" si="24"/>
        <v>0</v>
      </c>
      <c r="BM30" s="531">
        <f t="shared" si="24"/>
        <v>0</v>
      </c>
      <c r="BN30" s="531">
        <f t="shared" si="24"/>
        <v>0</v>
      </c>
      <c r="BO30" s="531">
        <f t="shared" si="24"/>
        <v>0</v>
      </c>
      <c r="BP30" s="531">
        <f t="shared" si="24"/>
        <v>0</v>
      </c>
      <c r="BQ30" s="531">
        <f t="shared" si="24"/>
        <v>0</v>
      </c>
      <c r="BR30" s="531">
        <f t="shared" si="24"/>
        <v>0</v>
      </c>
      <c r="BS30" s="550">
        <v>0</v>
      </c>
    </row>
    <row r="31" spans="1:71">
      <c r="A31" s="527"/>
      <c r="B31" s="521" t="s">
        <v>118</v>
      </c>
      <c r="C31" s="529" t="s">
        <v>341</v>
      </c>
      <c r="D31" s="530"/>
      <c r="E31" s="531"/>
      <c r="F31" s="531"/>
      <c r="G31" s="531"/>
      <c r="H31" s="531"/>
      <c r="I31" s="531"/>
      <c r="J31" s="531"/>
      <c r="K31" s="531"/>
      <c r="L31" s="531"/>
      <c r="M31" s="531"/>
      <c r="N31" s="531"/>
      <c r="O31" s="531"/>
      <c r="P31" s="531">
        <v>0</v>
      </c>
      <c r="Q31" s="550">
        <v>0</v>
      </c>
      <c r="R31" s="530">
        <v>0</v>
      </c>
      <c r="S31" s="531">
        <v>0</v>
      </c>
      <c r="T31" s="531">
        <v>0</v>
      </c>
      <c r="U31" s="531">
        <v>0</v>
      </c>
      <c r="V31" s="531">
        <v>0</v>
      </c>
      <c r="W31" s="531">
        <v>0</v>
      </c>
      <c r="X31" s="531">
        <v>0</v>
      </c>
      <c r="Y31" s="531">
        <v>0</v>
      </c>
      <c r="Z31" s="531">
        <v>0</v>
      </c>
      <c r="AA31" s="531">
        <v>0</v>
      </c>
      <c r="AB31" s="531">
        <v>0</v>
      </c>
      <c r="AC31" s="531">
        <v>0</v>
      </c>
      <c r="AD31" s="531">
        <f t="shared" si="25"/>
        <v>0</v>
      </c>
      <c r="AE31" s="550">
        <v>0</v>
      </c>
      <c r="AF31" s="530">
        <v>0</v>
      </c>
      <c r="AG31" s="531">
        <f t="shared" si="31"/>
        <v>0</v>
      </c>
      <c r="AH31" s="531">
        <f t="shared" si="32"/>
        <v>0</v>
      </c>
      <c r="AI31" s="531">
        <f t="shared" si="33"/>
        <v>0</v>
      </c>
      <c r="AJ31" s="531">
        <f t="shared" si="34"/>
        <v>0</v>
      </c>
      <c r="AK31" s="531">
        <f t="shared" si="35"/>
        <v>0</v>
      </c>
      <c r="AL31" s="531">
        <f t="shared" si="36"/>
        <v>0</v>
      </c>
      <c r="AM31" s="531">
        <f t="shared" si="37"/>
        <v>0</v>
      </c>
      <c r="AN31" s="531">
        <f t="shared" si="38"/>
        <v>0</v>
      </c>
      <c r="AO31" s="531">
        <f t="shared" si="39"/>
        <v>0</v>
      </c>
      <c r="AP31" s="531">
        <f t="shared" si="40"/>
        <v>0</v>
      </c>
      <c r="AQ31" s="531">
        <f t="shared" si="41"/>
        <v>0</v>
      </c>
      <c r="AR31" s="531">
        <f t="shared" si="20"/>
        <v>0</v>
      </c>
      <c r="AS31" s="550">
        <v>0</v>
      </c>
      <c r="AT31" s="530">
        <v>0</v>
      </c>
      <c r="AU31" s="531">
        <f t="shared" si="28"/>
        <v>0</v>
      </c>
      <c r="AV31" s="531">
        <f t="shared" si="29"/>
        <v>0</v>
      </c>
      <c r="AW31" s="531">
        <f t="shared" si="30"/>
        <v>0</v>
      </c>
      <c r="AX31" s="531">
        <f t="shared" si="21"/>
        <v>0</v>
      </c>
      <c r="AY31" s="531">
        <f t="shared" si="22"/>
        <v>0</v>
      </c>
      <c r="AZ31" s="531">
        <f t="shared" si="22"/>
        <v>0</v>
      </c>
      <c r="BA31" s="531">
        <f t="shared" si="22"/>
        <v>0</v>
      </c>
      <c r="BB31" s="531">
        <f t="shared" si="22"/>
        <v>0</v>
      </c>
      <c r="BC31" s="531">
        <f t="shared" si="22"/>
        <v>0</v>
      </c>
      <c r="BD31" s="531">
        <f t="shared" si="22"/>
        <v>0</v>
      </c>
      <c r="BE31" s="531">
        <f t="shared" si="22"/>
        <v>0</v>
      </c>
      <c r="BF31" s="550">
        <v>0</v>
      </c>
      <c r="BG31" s="530">
        <f t="shared" si="23"/>
        <v>0</v>
      </c>
      <c r="BH31" s="531">
        <f t="shared" si="24"/>
        <v>0</v>
      </c>
      <c r="BI31" s="531">
        <f t="shared" si="24"/>
        <v>0</v>
      </c>
      <c r="BJ31" s="531">
        <f t="shared" si="24"/>
        <v>0</v>
      </c>
      <c r="BK31" s="531">
        <f t="shared" si="24"/>
        <v>0</v>
      </c>
      <c r="BL31" s="531">
        <f t="shared" si="24"/>
        <v>0</v>
      </c>
      <c r="BM31" s="531">
        <f t="shared" si="24"/>
        <v>0</v>
      </c>
      <c r="BN31" s="531">
        <f t="shared" si="24"/>
        <v>0</v>
      </c>
      <c r="BO31" s="531">
        <f t="shared" si="24"/>
        <v>0</v>
      </c>
      <c r="BP31" s="531">
        <f t="shared" si="24"/>
        <v>0</v>
      </c>
      <c r="BQ31" s="531">
        <f t="shared" si="24"/>
        <v>0</v>
      </c>
      <c r="BR31" s="531">
        <f t="shared" si="24"/>
        <v>0</v>
      </c>
      <c r="BS31" s="550">
        <v>0</v>
      </c>
    </row>
    <row r="32" spans="1:71">
      <c r="A32" s="527"/>
      <c r="B32" s="521" t="s">
        <v>367</v>
      </c>
      <c r="C32" s="529" t="s">
        <v>369</v>
      </c>
      <c r="D32" s="530"/>
      <c r="E32" s="531"/>
      <c r="F32" s="531"/>
      <c r="G32" s="531"/>
      <c r="H32" s="531"/>
      <c r="I32" s="531"/>
      <c r="J32" s="531"/>
      <c r="K32" s="531"/>
      <c r="L32" s="531"/>
      <c r="M32" s="531"/>
      <c r="N32" s="531"/>
      <c r="O32" s="531"/>
      <c r="P32" s="531">
        <v>0</v>
      </c>
      <c r="Q32" s="550">
        <v>0</v>
      </c>
      <c r="R32" s="530">
        <v>0</v>
      </c>
      <c r="S32" s="531">
        <v>0</v>
      </c>
      <c r="T32" s="531">
        <v>0</v>
      </c>
      <c r="U32" s="531">
        <v>0</v>
      </c>
      <c r="V32" s="531">
        <v>0</v>
      </c>
      <c r="W32" s="531">
        <v>0</v>
      </c>
      <c r="X32" s="531">
        <v>0</v>
      </c>
      <c r="Y32" s="531">
        <v>0</v>
      </c>
      <c r="Z32" s="531">
        <v>0</v>
      </c>
      <c r="AA32" s="531">
        <v>0</v>
      </c>
      <c r="AB32" s="531">
        <v>0</v>
      </c>
      <c r="AC32" s="531">
        <v>0</v>
      </c>
      <c r="AD32" s="531">
        <f t="shared" si="25"/>
        <v>0</v>
      </c>
      <c r="AE32" s="550">
        <v>0</v>
      </c>
      <c r="AF32" s="530">
        <v>0</v>
      </c>
      <c r="AG32" s="531">
        <f t="shared" si="31"/>
        <v>0</v>
      </c>
      <c r="AH32" s="531">
        <f t="shared" si="32"/>
        <v>0</v>
      </c>
      <c r="AI32" s="531">
        <f t="shared" si="33"/>
        <v>0</v>
      </c>
      <c r="AJ32" s="531">
        <f t="shared" si="34"/>
        <v>0</v>
      </c>
      <c r="AK32" s="531">
        <f t="shared" si="35"/>
        <v>0</v>
      </c>
      <c r="AL32" s="531">
        <f t="shared" si="36"/>
        <v>0</v>
      </c>
      <c r="AM32" s="531">
        <f t="shared" si="37"/>
        <v>0</v>
      </c>
      <c r="AN32" s="531">
        <f t="shared" si="38"/>
        <v>0</v>
      </c>
      <c r="AO32" s="531">
        <f t="shared" si="39"/>
        <v>0</v>
      </c>
      <c r="AP32" s="531">
        <f t="shared" si="40"/>
        <v>0</v>
      </c>
      <c r="AQ32" s="531">
        <f t="shared" si="41"/>
        <v>0</v>
      </c>
      <c r="AR32" s="531">
        <f t="shared" si="20"/>
        <v>0</v>
      </c>
      <c r="AS32" s="550">
        <v>0</v>
      </c>
      <c r="AT32" s="530">
        <v>0</v>
      </c>
      <c r="AU32" s="531">
        <f t="shared" si="28"/>
        <v>0</v>
      </c>
      <c r="AV32" s="531">
        <f t="shared" si="29"/>
        <v>0</v>
      </c>
      <c r="AW32" s="531">
        <f t="shared" si="30"/>
        <v>0</v>
      </c>
      <c r="AX32" s="531">
        <f t="shared" si="21"/>
        <v>0</v>
      </c>
      <c r="AY32" s="531">
        <f t="shared" si="22"/>
        <v>0</v>
      </c>
      <c r="AZ32" s="531">
        <f t="shared" si="22"/>
        <v>0</v>
      </c>
      <c r="BA32" s="531">
        <f t="shared" si="22"/>
        <v>0</v>
      </c>
      <c r="BB32" s="531">
        <f t="shared" si="22"/>
        <v>0</v>
      </c>
      <c r="BC32" s="531">
        <f t="shared" si="22"/>
        <v>0</v>
      </c>
      <c r="BD32" s="531">
        <f t="shared" si="22"/>
        <v>0</v>
      </c>
      <c r="BE32" s="531">
        <f t="shared" si="22"/>
        <v>0</v>
      </c>
      <c r="BF32" s="550">
        <v>0</v>
      </c>
      <c r="BG32" s="530">
        <f t="shared" si="23"/>
        <v>0</v>
      </c>
      <c r="BH32" s="531">
        <f t="shared" si="24"/>
        <v>0</v>
      </c>
      <c r="BI32" s="531">
        <f t="shared" si="24"/>
        <v>0</v>
      </c>
      <c r="BJ32" s="531">
        <f t="shared" si="24"/>
        <v>0</v>
      </c>
      <c r="BK32" s="531">
        <f t="shared" si="24"/>
        <v>0</v>
      </c>
      <c r="BL32" s="531">
        <f t="shared" si="24"/>
        <v>0</v>
      </c>
      <c r="BM32" s="531">
        <f t="shared" si="24"/>
        <v>0</v>
      </c>
      <c r="BN32" s="531">
        <f t="shared" si="24"/>
        <v>0</v>
      </c>
      <c r="BO32" s="531">
        <f t="shared" si="24"/>
        <v>0</v>
      </c>
      <c r="BP32" s="531">
        <f t="shared" si="24"/>
        <v>0</v>
      </c>
      <c r="BQ32" s="531">
        <f t="shared" si="24"/>
        <v>0</v>
      </c>
      <c r="BR32" s="531">
        <f t="shared" si="24"/>
        <v>0</v>
      </c>
      <c r="BS32" s="550">
        <v>0</v>
      </c>
    </row>
    <row r="33" spans="1:71" ht="15" customHeight="1">
      <c r="A33" s="527"/>
      <c r="B33" s="521" t="s">
        <v>64</v>
      </c>
      <c r="C33" s="529" t="s">
        <v>63</v>
      </c>
      <c r="D33" s="530"/>
      <c r="E33" s="531"/>
      <c r="F33" s="531"/>
      <c r="G33" s="531"/>
      <c r="H33" s="531"/>
      <c r="I33" s="531"/>
      <c r="J33" s="531"/>
      <c r="K33" s="531"/>
      <c r="L33" s="531"/>
      <c r="M33" s="531"/>
      <c r="N33" s="531"/>
      <c r="O33" s="531"/>
      <c r="P33" s="531">
        <v>0</v>
      </c>
      <c r="Q33" s="550" t="s">
        <v>458</v>
      </c>
      <c r="R33" s="530">
        <v>0</v>
      </c>
      <c r="S33" s="531">
        <v>0</v>
      </c>
      <c r="T33" s="531">
        <v>0</v>
      </c>
      <c r="U33" s="531">
        <v>0</v>
      </c>
      <c r="V33" s="531">
        <v>0</v>
      </c>
      <c r="W33" s="531">
        <v>0</v>
      </c>
      <c r="X33" s="531">
        <v>0</v>
      </c>
      <c r="Y33" s="531">
        <v>0</v>
      </c>
      <c r="Z33" s="531">
        <v>0</v>
      </c>
      <c r="AA33" s="531">
        <v>0</v>
      </c>
      <c r="AB33" s="531">
        <v>0</v>
      </c>
      <c r="AC33" s="531">
        <v>0</v>
      </c>
      <c r="AD33" s="531">
        <f t="shared" si="25"/>
        <v>0</v>
      </c>
      <c r="AE33" s="550">
        <v>0</v>
      </c>
      <c r="AF33" s="530">
        <v>0</v>
      </c>
      <c r="AG33" s="531">
        <f t="shared" si="31"/>
        <v>0</v>
      </c>
      <c r="AH33" s="531">
        <f t="shared" si="32"/>
        <v>0</v>
      </c>
      <c r="AI33" s="531">
        <f t="shared" si="33"/>
        <v>0</v>
      </c>
      <c r="AJ33" s="531">
        <f t="shared" si="34"/>
        <v>0</v>
      </c>
      <c r="AK33" s="531">
        <f t="shared" si="35"/>
        <v>0</v>
      </c>
      <c r="AL33" s="531">
        <f t="shared" si="36"/>
        <v>0</v>
      </c>
      <c r="AM33" s="531">
        <f t="shared" si="37"/>
        <v>0</v>
      </c>
      <c r="AN33" s="531">
        <f t="shared" si="38"/>
        <v>0</v>
      </c>
      <c r="AO33" s="531">
        <f t="shared" si="39"/>
        <v>0</v>
      </c>
      <c r="AP33" s="531">
        <f t="shared" si="40"/>
        <v>0</v>
      </c>
      <c r="AQ33" s="531">
        <f t="shared" si="41"/>
        <v>0</v>
      </c>
      <c r="AR33" s="531">
        <f t="shared" si="20"/>
        <v>0</v>
      </c>
      <c r="AS33" s="550">
        <v>0</v>
      </c>
      <c r="AT33" s="530">
        <v>0</v>
      </c>
      <c r="AU33" s="531">
        <f t="shared" si="28"/>
        <v>0</v>
      </c>
      <c r="AV33" s="531">
        <f t="shared" si="29"/>
        <v>0</v>
      </c>
      <c r="AW33" s="531">
        <f t="shared" si="30"/>
        <v>0</v>
      </c>
      <c r="AX33" s="531">
        <f t="shared" si="21"/>
        <v>0</v>
      </c>
      <c r="AY33" s="531">
        <f t="shared" si="22"/>
        <v>0</v>
      </c>
      <c r="AZ33" s="531">
        <f t="shared" si="22"/>
        <v>0</v>
      </c>
      <c r="BA33" s="531">
        <f t="shared" si="22"/>
        <v>0</v>
      </c>
      <c r="BB33" s="531">
        <f t="shared" si="22"/>
        <v>0</v>
      </c>
      <c r="BC33" s="531">
        <f t="shared" si="22"/>
        <v>0</v>
      </c>
      <c r="BD33" s="531">
        <f t="shared" si="22"/>
        <v>0</v>
      </c>
      <c r="BE33" s="531">
        <f t="shared" si="22"/>
        <v>0</v>
      </c>
      <c r="BF33" s="550">
        <v>0</v>
      </c>
      <c r="BG33" s="530">
        <f t="shared" si="23"/>
        <v>0</v>
      </c>
      <c r="BH33" s="531">
        <f t="shared" si="24"/>
        <v>0</v>
      </c>
      <c r="BI33" s="531">
        <f t="shared" si="24"/>
        <v>0</v>
      </c>
      <c r="BJ33" s="531">
        <f t="shared" si="24"/>
        <v>0</v>
      </c>
      <c r="BK33" s="531">
        <f t="shared" si="24"/>
        <v>0</v>
      </c>
      <c r="BL33" s="531">
        <f t="shared" si="24"/>
        <v>0</v>
      </c>
      <c r="BM33" s="531">
        <f t="shared" si="24"/>
        <v>0</v>
      </c>
      <c r="BN33" s="531">
        <f t="shared" si="24"/>
        <v>0</v>
      </c>
      <c r="BO33" s="531">
        <f t="shared" si="24"/>
        <v>0</v>
      </c>
      <c r="BP33" s="531">
        <f t="shared" si="24"/>
        <v>0</v>
      </c>
      <c r="BQ33" s="531">
        <f t="shared" si="24"/>
        <v>0</v>
      </c>
      <c r="BR33" s="531">
        <f t="shared" si="24"/>
        <v>0</v>
      </c>
      <c r="BS33" s="550">
        <v>0</v>
      </c>
    </row>
    <row r="34" spans="1:71">
      <c r="A34" s="527"/>
      <c r="B34" s="521" t="s">
        <v>70</v>
      </c>
      <c r="C34" s="529" t="s">
        <v>69</v>
      </c>
      <c r="D34" s="530"/>
      <c r="E34" s="531"/>
      <c r="F34" s="531"/>
      <c r="G34" s="531"/>
      <c r="H34" s="531"/>
      <c r="I34" s="531"/>
      <c r="J34" s="531"/>
      <c r="K34" s="531"/>
      <c r="L34" s="531"/>
      <c r="M34" s="531"/>
      <c r="N34" s="531"/>
      <c r="O34" s="531"/>
      <c r="P34" s="531">
        <v>0</v>
      </c>
      <c r="Q34" s="550">
        <v>0</v>
      </c>
      <c r="R34" s="530">
        <v>0</v>
      </c>
      <c r="S34" s="531">
        <v>0</v>
      </c>
      <c r="T34" s="531">
        <v>0</v>
      </c>
      <c r="U34" s="531">
        <v>0</v>
      </c>
      <c r="V34" s="531">
        <v>0</v>
      </c>
      <c r="W34" s="531">
        <v>0</v>
      </c>
      <c r="X34" s="531">
        <v>0</v>
      </c>
      <c r="Y34" s="531">
        <v>0</v>
      </c>
      <c r="Z34" s="531">
        <v>0</v>
      </c>
      <c r="AA34" s="531">
        <v>0</v>
      </c>
      <c r="AB34" s="531">
        <v>0</v>
      </c>
      <c r="AC34" s="531">
        <v>0</v>
      </c>
      <c r="AD34" s="531">
        <f t="shared" si="25"/>
        <v>0</v>
      </c>
      <c r="AE34" s="550">
        <v>0</v>
      </c>
      <c r="AF34" s="530">
        <v>0</v>
      </c>
      <c r="AG34" s="531">
        <f t="shared" si="31"/>
        <v>0</v>
      </c>
      <c r="AH34" s="531">
        <f t="shared" si="32"/>
        <v>0</v>
      </c>
      <c r="AI34" s="531">
        <f t="shared" si="33"/>
        <v>0</v>
      </c>
      <c r="AJ34" s="531">
        <f t="shared" si="34"/>
        <v>0</v>
      </c>
      <c r="AK34" s="531">
        <f t="shared" si="35"/>
        <v>0</v>
      </c>
      <c r="AL34" s="531">
        <f t="shared" si="36"/>
        <v>0</v>
      </c>
      <c r="AM34" s="531">
        <f t="shared" si="37"/>
        <v>0</v>
      </c>
      <c r="AN34" s="531">
        <f t="shared" si="38"/>
        <v>0</v>
      </c>
      <c r="AO34" s="531">
        <f t="shared" si="39"/>
        <v>0</v>
      </c>
      <c r="AP34" s="531">
        <f t="shared" si="40"/>
        <v>0</v>
      </c>
      <c r="AQ34" s="531">
        <f t="shared" si="41"/>
        <v>0</v>
      </c>
      <c r="AR34" s="531">
        <f t="shared" si="20"/>
        <v>0</v>
      </c>
      <c r="AS34" s="550">
        <v>0</v>
      </c>
      <c r="AT34" s="530">
        <v>0</v>
      </c>
      <c r="AU34" s="531">
        <f t="shared" si="28"/>
        <v>0</v>
      </c>
      <c r="AV34" s="531">
        <f t="shared" si="29"/>
        <v>0</v>
      </c>
      <c r="AW34" s="531">
        <f t="shared" si="30"/>
        <v>0</v>
      </c>
      <c r="AX34" s="531">
        <f t="shared" si="21"/>
        <v>0</v>
      </c>
      <c r="AY34" s="531">
        <f t="shared" si="22"/>
        <v>0</v>
      </c>
      <c r="AZ34" s="531">
        <f t="shared" si="22"/>
        <v>0</v>
      </c>
      <c r="BA34" s="531">
        <f t="shared" si="22"/>
        <v>0</v>
      </c>
      <c r="BB34" s="531">
        <f t="shared" si="22"/>
        <v>0</v>
      </c>
      <c r="BC34" s="531">
        <f t="shared" si="22"/>
        <v>0</v>
      </c>
      <c r="BD34" s="531">
        <f t="shared" si="22"/>
        <v>0</v>
      </c>
      <c r="BE34" s="531">
        <f t="shared" si="22"/>
        <v>0</v>
      </c>
      <c r="BF34" s="550">
        <v>0</v>
      </c>
      <c r="BG34" s="530">
        <f t="shared" si="23"/>
        <v>0</v>
      </c>
      <c r="BH34" s="531">
        <f t="shared" si="24"/>
        <v>0</v>
      </c>
      <c r="BI34" s="531">
        <f t="shared" si="24"/>
        <v>0</v>
      </c>
      <c r="BJ34" s="531">
        <f t="shared" si="24"/>
        <v>0</v>
      </c>
      <c r="BK34" s="531">
        <f t="shared" si="24"/>
        <v>0</v>
      </c>
      <c r="BL34" s="531">
        <f t="shared" si="24"/>
        <v>0</v>
      </c>
      <c r="BM34" s="531">
        <f t="shared" si="24"/>
        <v>0</v>
      </c>
      <c r="BN34" s="531">
        <f t="shared" si="24"/>
        <v>0</v>
      </c>
      <c r="BO34" s="531">
        <f t="shared" si="24"/>
        <v>0</v>
      </c>
      <c r="BP34" s="531">
        <f t="shared" si="24"/>
        <v>0</v>
      </c>
      <c r="BQ34" s="531">
        <f t="shared" si="24"/>
        <v>0</v>
      </c>
      <c r="BR34" s="531">
        <f t="shared" si="24"/>
        <v>0</v>
      </c>
      <c r="BS34" s="550">
        <v>0</v>
      </c>
    </row>
    <row r="35" spans="1:71">
      <c r="A35" s="527"/>
      <c r="B35" s="521" t="s">
        <v>72</v>
      </c>
      <c r="C35" s="529" t="s">
        <v>71</v>
      </c>
      <c r="D35" s="530"/>
      <c r="E35" s="531"/>
      <c r="F35" s="531"/>
      <c r="G35" s="531"/>
      <c r="H35" s="531"/>
      <c r="I35" s="531"/>
      <c r="J35" s="531"/>
      <c r="K35" s="531"/>
      <c r="L35" s="531"/>
      <c r="M35" s="531"/>
      <c r="N35" s="531"/>
      <c r="O35" s="531"/>
      <c r="P35" s="531">
        <v>0</v>
      </c>
      <c r="Q35" s="550">
        <v>0</v>
      </c>
      <c r="R35" s="530">
        <v>0</v>
      </c>
      <c r="S35" s="531">
        <v>0</v>
      </c>
      <c r="T35" s="531">
        <v>0</v>
      </c>
      <c r="U35" s="531">
        <v>0</v>
      </c>
      <c r="V35" s="531">
        <v>0</v>
      </c>
      <c r="W35" s="531">
        <v>0</v>
      </c>
      <c r="X35" s="531">
        <v>0</v>
      </c>
      <c r="Y35" s="531">
        <v>0</v>
      </c>
      <c r="Z35" s="531">
        <v>0</v>
      </c>
      <c r="AA35" s="531">
        <v>0</v>
      </c>
      <c r="AB35" s="531">
        <v>0</v>
      </c>
      <c r="AC35" s="531">
        <v>0</v>
      </c>
      <c r="AD35" s="531">
        <f t="shared" si="25"/>
        <v>0</v>
      </c>
      <c r="AE35" s="550">
        <v>0</v>
      </c>
      <c r="AF35" s="530">
        <v>0</v>
      </c>
      <c r="AG35" s="531">
        <f t="shared" si="31"/>
        <v>0</v>
      </c>
      <c r="AH35" s="531">
        <f t="shared" si="32"/>
        <v>0</v>
      </c>
      <c r="AI35" s="531">
        <f t="shared" si="33"/>
        <v>0</v>
      </c>
      <c r="AJ35" s="531">
        <f t="shared" si="34"/>
        <v>0</v>
      </c>
      <c r="AK35" s="531">
        <f t="shared" si="35"/>
        <v>0</v>
      </c>
      <c r="AL35" s="531">
        <f t="shared" si="36"/>
        <v>0</v>
      </c>
      <c r="AM35" s="531">
        <f t="shared" si="37"/>
        <v>0</v>
      </c>
      <c r="AN35" s="531">
        <f t="shared" si="38"/>
        <v>0</v>
      </c>
      <c r="AO35" s="531">
        <f t="shared" si="39"/>
        <v>0</v>
      </c>
      <c r="AP35" s="531">
        <f t="shared" si="40"/>
        <v>0</v>
      </c>
      <c r="AQ35" s="531">
        <f t="shared" si="41"/>
        <v>0</v>
      </c>
      <c r="AR35" s="531">
        <f t="shared" si="20"/>
        <v>0</v>
      </c>
      <c r="AS35" s="550">
        <v>0</v>
      </c>
      <c r="AT35" s="530">
        <v>0</v>
      </c>
      <c r="AU35" s="531">
        <f t="shared" si="28"/>
        <v>0</v>
      </c>
      <c r="AV35" s="531">
        <f t="shared" si="29"/>
        <v>0</v>
      </c>
      <c r="AW35" s="531">
        <f t="shared" si="30"/>
        <v>0</v>
      </c>
      <c r="AX35" s="531">
        <f>(BF35-AT35-AU35-AV35-AW35)/8</f>
        <v>0</v>
      </c>
      <c r="AY35" s="531">
        <f t="shared" si="22"/>
        <v>0</v>
      </c>
      <c r="AZ35" s="531">
        <f t="shared" si="22"/>
        <v>0</v>
      </c>
      <c r="BA35" s="531">
        <f t="shared" si="22"/>
        <v>0</v>
      </c>
      <c r="BB35" s="531">
        <f t="shared" si="22"/>
        <v>0</v>
      </c>
      <c r="BC35" s="531">
        <f t="shared" si="22"/>
        <v>0</v>
      </c>
      <c r="BD35" s="531">
        <f t="shared" si="22"/>
        <v>0</v>
      </c>
      <c r="BE35" s="531">
        <f t="shared" si="22"/>
        <v>0</v>
      </c>
      <c r="BF35" s="550">
        <v>0</v>
      </c>
      <c r="BG35" s="530">
        <f t="shared" si="23"/>
        <v>0</v>
      </c>
      <c r="BH35" s="531">
        <f t="shared" si="24"/>
        <v>0</v>
      </c>
      <c r="BI35" s="531">
        <f t="shared" si="24"/>
        <v>0</v>
      </c>
      <c r="BJ35" s="531">
        <f t="shared" si="24"/>
        <v>0</v>
      </c>
      <c r="BK35" s="531">
        <f t="shared" si="24"/>
        <v>0</v>
      </c>
      <c r="BL35" s="531">
        <f t="shared" si="24"/>
        <v>0</v>
      </c>
      <c r="BM35" s="531">
        <f t="shared" si="24"/>
        <v>0</v>
      </c>
      <c r="BN35" s="531">
        <f t="shared" si="24"/>
        <v>0</v>
      </c>
      <c r="BO35" s="531">
        <f t="shared" si="24"/>
        <v>0</v>
      </c>
      <c r="BP35" s="531">
        <f t="shared" si="24"/>
        <v>0</v>
      </c>
      <c r="BQ35" s="531">
        <f t="shared" si="24"/>
        <v>0</v>
      </c>
      <c r="BR35" s="531">
        <f t="shared" si="24"/>
        <v>0</v>
      </c>
      <c r="BS35" s="550">
        <v>0</v>
      </c>
    </row>
    <row r="36" spans="1:71">
      <c r="A36" s="527"/>
      <c r="B36" s="521" t="s">
        <v>74</v>
      </c>
      <c r="C36" s="529" t="s">
        <v>73</v>
      </c>
      <c r="D36" s="530"/>
      <c r="E36" s="531"/>
      <c r="F36" s="531"/>
      <c r="G36" s="531"/>
      <c r="H36" s="531"/>
      <c r="I36" s="531"/>
      <c r="J36" s="531"/>
      <c r="K36" s="531"/>
      <c r="L36" s="531"/>
      <c r="M36" s="531"/>
      <c r="N36" s="531"/>
      <c r="O36" s="531"/>
      <c r="P36" s="531">
        <v>0</v>
      </c>
      <c r="Q36" s="550">
        <v>0</v>
      </c>
      <c r="R36" s="530">
        <v>0</v>
      </c>
      <c r="S36" s="531">
        <v>0</v>
      </c>
      <c r="T36" s="531">
        <v>0</v>
      </c>
      <c r="U36" s="531">
        <v>0</v>
      </c>
      <c r="V36" s="531">
        <v>0</v>
      </c>
      <c r="W36" s="531">
        <v>0</v>
      </c>
      <c r="X36" s="531">
        <v>0</v>
      </c>
      <c r="Y36" s="531">
        <v>0</v>
      </c>
      <c r="Z36" s="531">
        <v>0</v>
      </c>
      <c r="AA36" s="531">
        <v>0</v>
      </c>
      <c r="AB36" s="531">
        <v>0</v>
      </c>
      <c r="AC36" s="531">
        <v>0</v>
      </c>
      <c r="AD36" s="531">
        <f t="shared" si="25"/>
        <v>0</v>
      </c>
      <c r="AE36" s="550">
        <v>0</v>
      </c>
      <c r="AF36" s="530">
        <v>0</v>
      </c>
      <c r="AG36" s="531">
        <f t="shared" si="31"/>
        <v>0</v>
      </c>
      <c r="AH36" s="531">
        <f t="shared" si="32"/>
        <v>0</v>
      </c>
      <c r="AI36" s="531">
        <f t="shared" si="33"/>
        <v>0</v>
      </c>
      <c r="AJ36" s="531">
        <f t="shared" si="34"/>
        <v>0</v>
      </c>
      <c r="AK36" s="531">
        <f t="shared" si="35"/>
        <v>0</v>
      </c>
      <c r="AL36" s="531">
        <f t="shared" si="36"/>
        <v>0</v>
      </c>
      <c r="AM36" s="531">
        <f t="shared" si="37"/>
        <v>0</v>
      </c>
      <c r="AN36" s="531">
        <f t="shared" si="38"/>
        <v>0</v>
      </c>
      <c r="AO36" s="531">
        <f t="shared" si="39"/>
        <v>0</v>
      </c>
      <c r="AP36" s="531">
        <f t="shared" si="40"/>
        <v>0</v>
      </c>
      <c r="AQ36" s="531">
        <f t="shared" si="41"/>
        <v>0</v>
      </c>
      <c r="AR36" s="531">
        <f t="shared" si="20"/>
        <v>0</v>
      </c>
      <c r="AS36" s="550">
        <v>0</v>
      </c>
      <c r="AT36" s="530">
        <v>0</v>
      </c>
      <c r="AU36" s="531">
        <f t="shared" si="28"/>
        <v>0</v>
      </c>
      <c r="AV36" s="531">
        <f t="shared" si="29"/>
        <v>0</v>
      </c>
      <c r="AW36" s="531">
        <f t="shared" si="30"/>
        <v>0</v>
      </c>
      <c r="AX36" s="531">
        <f t="shared" si="21"/>
        <v>0</v>
      </c>
      <c r="AY36" s="531">
        <f t="shared" si="22"/>
        <v>0</v>
      </c>
      <c r="AZ36" s="531">
        <f t="shared" si="22"/>
        <v>0</v>
      </c>
      <c r="BA36" s="531">
        <f t="shared" si="22"/>
        <v>0</v>
      </c>
      <c r="BB36" s="531">
        <f t="shared" si="22"/>
        <v>0</v>
      </c>
      <c r="BC36" s="531">
        <f t="shared" si="22"/>
        <v>0</v>
      </c>
      <c r="BD36" s="531">
        <f t="shared" si="22"/>
        <v>0</v>
      </c>
      <c r="BE36" s="531">
        <f t="shared" si="22"/>
        <v>0</v>
      </c>
      <c r="BF36" s="550">
        <v>0</v>
      </c>
      <c r="BG36" s="530">
        <f t="shared" si="23"/>
        <v>0</v>
      </c>
      <c r="BH36" s="531">
        <f t="shared" si="24"/>
        <v>0</v>
      </c>
      <c r="BI36" s="531">
        <f t="shared" si="24"/>
        <v>0</v>
      </c>
      <c r="BJ36" s="531">
        <f t="shared" si="24"/>
        <v>0</v>
      </c>
      <c r="BK36" s="531">
        <f t="shared" si="24"/>
        <v>0</v>
      </c>
      <c r="BL36" s="531">
        <f t="shared" si="24"/>
        <v>0</v>
      </c>
      <c r="BM36" s="531">
        <f t="shared" si="24"/>
        <v>0</v>
      </c>
      <c r="BN36" s="531">
        <f t="shared" si="24"/>
        <v>0</v>
      </c>
      <c r="BO36" s="531">
        <f t="shared" si="24"/>
        <v>0</v>
      </c>
      <c r="BP36" s="531">
        <f t="shared" si="24"/>
        <v>0</v>
      </c>
      <c r="BQ36" s="531">
        <f t="shared" si="24"/>
        <v>0</v>
      </c>
      <c r="BR36" s="531">
        <f t="shared" si="24"/>
        <v>0</v>
      </c>
      <c r="BS36" s="550">
        <v>0</v>
      </c>
    </row>
    <row r="37" spans="1:71">
      <c r="A37" s="527"/>
      <c r="B37" s="521" t="s">
        <v>132</v>
      </c>
      <c r="C37" s="529" t="s">
        <v>342</v>
      </c>
      <c r="D37" s="530"/>
      <c r="E37" s="531"/>
      <c r="F37" s="531"/>
      <c r="G37" s="531"/>
      <c r="H37" s="531"/>
      <c r="I37" s="531"/>
      <c r="J37" s="531"/>
      <c r="K37" s="531"/>
      <c r="L37" s="531"/>
      <c r="M37" s="531"/>
      <c r="N37" s="531"/>
      <c r="O37" s="531"/>
      <c r="P37" s="531">
        <v>0</v>
      </c>
      <c r="Q37" s="550">
        <v>0</v>
      </c>
      <c r="R37" s="530">
        <v>0</v>
      </c>
      <c r="S37" s="531">
        <v>0</v>
      </c>
      <c r="T37" s="531">
        <v>0</v>
      </c>
      <c r="U37" s="531">
        <v>0</v>
      </c>
      <c r="V37" s="531">
        <v>0</v>
      </c>
      <c r="W37" s="531">
        <v>0</v>
      </c>
      <c r="X37" s="531">
        <v>0</v>
      </c>
      <c r="Y37" s="531">
        <v>0</v>
      </c>
      <c r="Z37" s="531">
        <v>0</v>
      </c>
      <c r="AA37" s="531">
        <v>0</v>
      </c>
      <c r="AB37" s="531">
        <v>0</v>
      </c>
      <c r="AC37" s="531">
        <v>0</v>
      </c>
      <c r="AD37" s="531">
        <f t="shared" si="25"/>
        <v>0</v>
      </c>
      <c r="AE37" s="550">
        <v>0</v>
      </c>
      <c r="AF37" s="530">
        <v>0</v>
      </c>
      <c r="AG37" s="531">
        <f t="shared" si="31"/>
        <v>0</v>
      </c>
      <c r="AH37" s="531">
        <f t="shared" si="32"/>
        <v>0</v>
      </c>
      <c r="AI37" s="531">
        <f t="shared" si="33"/>
        <v>0</v>
      </c>
      <c r="AJ37" s="531">
        <f t="shared" si="34"/>
        <v>0</v>
      </c>
      <c r="AK37" s="531">
        <f t="shared" si="35"/>
        <v>0</v>
      </c>
      <c r="AL37" s="531">
        <f t="shared" si="36"/>
        <v>0</v>
      </c>
      <c r="AM37" s="531">
        <f t="shared" si="37"/>
        <v>0</v>
      </c>
      <c r="AN37" s="531">
        <f t="shared" si="38"/>
        <v>0</v>
      </c>
      <c r="AO37" s="531">
        <f t="shared" si="39"/>
        <v>0</v>
      </c>
      <c r="AP37" s="531">
        <f t="shared" si="40"/>
        <v>0</v>
      </c>
      <c r="AQ37" s="531">
        <f t="shared" si="41"/>
        <v>0</v>
      </c>
      <c r="AR37" s="531">
        <f t="shared" si="20"/>
        <v>0</v>
      </c>
      <c r="AS37" s="550">
        <v>0</v>
      </c>
      <c r="AT37" s="530">
        <v>0</v>
      </c>
      <c r="AU37" s="531">
        <f t="shared" si="28"/>
        <v>0</v>
      </c>
      <c r="AV37" s="531">
        <f t="shared" si="29"/>
        <v>0</v>
      </c>
      <c r="AW37" s="531">
        <f t="shared" si="30"/>
        <v>0</v>
      </c>
      <c r="AX37" s="531">
        <f t="shared" si="21"/>
        <v>0</v>
      </c>
      <c r="AY37" s="531">
        <f t="shared" si="22"/>
        <v>0</v>
      </c>
      <c r="AZ37" s="531">
        <f t="shared" si="22"/>
        <v>0</v>
      </c>
      <c r="BA37" s="531">
        <f t="shared" si="22"/>
        <v>0</v>
      </c>
      <c r="BB37" s="531">
        <f t="shared" si="22"/>
        <v>0</v>
      </c>
      <c r="BC37" s="531">
        <f t="shared" si="22"/>
        <v>0</v>
      </c>
      <c r="BD37" s="531">
        <f t="shared" si="22"/>
        <v>0</v>
      </c>
      <c r="BE37" s="531">
        <f t="shared" si="22"/>
        <v>0</v>
      </c>
      <c r="BF37" s="550">
        <v>0</v>
      </c>
      <c r="BG37" s="530">
        <f t="shared" si="23"/>
        <v>0</v>
      </c>
      <c r="BH37" s="531">
        <f t="shared" si="24"/>
        <v>0</v>
      </c>
      <c r="BI37" s="531">
        <f t="shared" si="24"/>
        <v>0</v>
      </c>
      <c r="BJ37" s="531">
        <f t="shared" si="24"/>
        <v>0</v>
      </c>
      <c r="BK37" s="531">
        <f t="shared" si="24"/>
        <v>0</v>
      </c>
      <c r="BL37" s="531">
        <f t="shared" si="24"/>
        <v>0</v>
      </c>
      <c r="BM37" s="531">
        <f t="shared" si="24"/>
        <v>0</v>
      </c>
      <c r="BN37" s="531">
        <f t="shared" si="24"/>
        <v>0</v>
      </c>
      <c r="BO37" s="531">
        <f t="shared" si="24"/>
        <v>0</v>
      </c>
      <c r="BP37" s="531">
        <f t="shared" si="24"/>
        <v>0</v>
      </c>
      <c r="BQ37" s="531">
        <f t="shared" si="24"/>
        <v>0</v>
      </c>
      <c r="BR37" s="531">
        <f t="shared" si="24"/>
        <v>0</v>
      </c>
      <c r="BS37" s="550">
        <v>0</v>
      </c>
    </row>
    <row r="38" spans="1:71">
      <c r="A38" s="527"/>
      <c r="B38" s="521" t="s">
        <v>365</v>
      </c>
      <c r="C38" s="529" t="s">
        <v>364</v>
      </c>
      <c r="D38" s="530"/>
      <c r="E38" s="531"/>
      <c r="F38" s="531"/>
      <c r="G38" s="531"/>
      <c r="H38" s="531"/>
      <c r="I38" s="531"/>
      <c r="J38" s="531"/>
      <c r="K38" s="531"/>
      <c r="L38" s="531"/>
      <c r="M38" s="531"/>
      <c r="N38" s="531"/>
      <c r="O38" s="531"/>
      <c r="P38" s="531">
        <v>0</v>
      </c>
      <c r="Q38" s="550">
        <v>0</v>
      </c>
      <c r="R38" s="530">
        <v>0</v>
      </c>
      <c r="S38" s="531">
        <v>0</v>
      </c>
      <c r="T38" s="531">
        <v>0</v>
      </c>
      <c r="U38" s="531">
        <v>0</v>
      </c>
      <c r="V38" s="531">
        <v>0</v>
      </c>
      <c r="W38" s="531">
        <v>0</v>
      </c>
      <c r="X38" s="531">
        <v>0</v>
      </c>
      <c r="Y38" s="531">
        <v>0</v>
      </c>
      <c r="Z38" s="531">
        <v>0</v>
      </c>
      <c r="AA38" s="531">
        <v>0</v>
      </c>
      <c r="AB38" s="531">
        <v>0</v>
      </c>
      <c r="AC38" s="531">
        <v>0</v>
      </c>
      <c r="AD38" s="531">
        <f t="shared" si="25"/>
        <v>0</v>
      </c>
      <c r="AE38" s="550">
        <v>0</v>
      </c>
      <c r="AF38" s="530">
        <v>0</v>
      </c>
      <c r="AG38" s="531">
        <f t="shared" si="31"/>
        <v>0</v>
      </c>
      <c r="AH38" s="531">
        <f t="shared" si="32"/>
        <v>0</v>
      </c>
      <c r="AI38" s="531">
        <f t="shared" si="33"/>
        <v>0</v>
      </c>
      <c r="AJ38" s="531">
        <f t="shared" si="34"/>
        <v>0</v>
      </c>
      <c r="AK38" s="531">
        <f t="shared" si="35"/>
        <v>0</v>
      </c>
      <c r="AL38" s="531">
        <f t="shared" si="36"/>
        <v>0</v>
      </c>
      <c r="AM38" s="531">
        <f t="shared" si="37"/>
        <v>0</v>
      </c>
      <c r="AN38" s="531">
        <f t="shared" si="38"/>
        <v>0</v>
      </c>
      <c r="AO38" s="531">
        <f t="shared" si="39"/>
        <v>0</v>
      </c>
      <c r="AP38" s="531">
        <f t="shared" si="40"/>
        <v>0</v>
      </c>
      <c r="AQ38" s="531">
        <f t="shared" si="41"/>
        <v>0</v>
      </c>
      <c r="AR38" s="531">
        <f t="shared" si="20"/>
        <v>0</v>
      </c>
      <c r="AS38" s="550">
        <v>0</v>
      </c>
      <c r="AT38" s="530">
        <v>0</v>
      </c>
      <c r="AU38" s="531">
        <f t="shared" si="28"/>
        <v>0</v>
      </c>
      <c r="AV38" s="531">
        <f t="shared" si="29"/>
        <v>0</v>
      </c>
      <c r="AW38" s="531">
        <f t="shared" si="30"/>
        <v>0</v>
      </c>
      <c r="AX38" s="531">
        <f t="shared" si="21"/>
        <v>0</v>
      </c>
      <c r="AY38" s="531">
        <f t="shared" si="22"/>
        <v>0</v>
      </c>
      <c r="AZ38" s="531">
        <f t="shared" si="22"/>
        <v>0</v>
      </c>
      <c r="BA38" s="531">
        <f t="shared" si="22"/>
        <v>0</v>
      </c>
      <c r="BB38" s="531">
        <f t="shared" si="22"/>
        <v>0</v>
      </c>
      <c r="BC38" s="531">
        <f t="shared" si="22"/>
        <v>0</v>
      </c>
      <c r="BD38" s="531">
        <f t="shared" si="22"/>
        <v>0</v>
      </c>
      <c r="BE38" s="531">
        <f t="shared" si="22"/>
        <v>0</v>
      </c>
      <c r="BF38" s="550">
        <v>0</v>
      </c>
      <c r="BG38" s="530">
        <f t="shared" si="23"/>
        <v>0</v>
      </c>
      <c r="BH38" s="531">
        <f t="shared" si="24"/>
        <v>0</v>
      </c>
      <c r="BI38" s="531">
        <f t="shared" si="24"/>
        <v>0</v>
      </c>
      <c r="BJ38" s="531">
        <f t="shared" si="24"/>
        <v>0</v>
      </c>
      <c r="BK38" s="531">
        <f t="shared" si="24"/>
        <v>0</v>
      </c>
      <c r="BL38" s="531">
        <f t="shared" si="24"/>
        <v>0</v>
      </c>
      <c r="BM38" s="531">
        <f t="shared" si="24"/>
        <v>0</v>
      </c>
      <c r="BN38" s="531">
        <f t="shared" si="24"/>
        <v>0</v>
      </c>
      <c r="BO38" s="531">
        <f t="shared" si="24"/>
        <v>0</v>
      </c>
      <c r="BP38" s="531">
        <f t="shared" si="24"/>
        <v>0</v>
      </c>
      <c r="BQ38" s="531">
        <f t="shared" si="24"/>
        <v>0</v>
      </c>
      <c r="BR38" s="531">
        <f t="shared" si="24"/>
        <v>0</v>
      </c>
      <c r="BS38" s="550">
        <v>0</v>
      </c>
    </row>
    <row r="39" spans="1:71">
      <c r="A39" s="527"/>
      <c r="B39" s="521" t="s">
        <v>78</v>
      </c>
      <c r="C39" s="529" t="s">
        <v>343</v>
      </c>
      <c r="D39" s="530"/>
      <c r="E39" s="531"/>
      <c r="F39" s="531"/>
      <c r="G39" s="531"/>
      <c r="H39" s="531"/>
      <c r="I39" s="531"/>
      <c r="J39" s="531"/>
      <c r="K39" s="531"/>
      <c r="L39" s="531"/>
      <c r="M39" s="531"/>
      <c r="N39" s="531"/>
      <c r="O39" s="531"/>
      <c r="P39" s="531">
        <v>0</v>
      </c>
      <c r="Q39" s="550">
        <v>0</v>
      </c>
      <c r="R39" s="530">
        <v>0</v>
      </c>
      <c r="S39" s="531">
        <v>0</v>
      </c>
      <c r="T39" s="531">
        <v>0</v>
      </c>
      <c r="U39" s="531">
        <v>0</v>
      </c>
      <c r="V39" s="531">
        <v>0</v>
      </c>
      <c r="W39" s="531">
        <v>0</v>
      </c>
      <c r="X39" s="531">
        <v>0</v>
      </c>
      <c r="Y39" s="531">
        <v>0</v>
      </c>
      <c r="Z39" s="531">
        <v>0</v>
      </c>
      <c r="AA39" s="531">
        <v>0</v>
      </c>
      <c r="AB39" s="531">
        <v>0</v>
      </c>
      <c r="AC39" s="531">
        <v>0</v>
      </c>
      <c r="AD39" s="531">
        <f t="shared" si="25"/>
        <v>0</v>
      </c>
      <c r="AE39" s="550">
        <v>0</v>
      </c>
      <c r="AF39" s="530">
        <v>0</v>
      </c>
      <c r="AG39" s="531">
        <f t="shared" si="31"/>
        <v>0</v>
      </c>
      <c r="AH39" s="531">
        <f t="shared" si="32"/>
        <v>0</v>
      </c>
      <c r="AI39" s="531">
        <f t="shared" si="33"/>
        <v>0</v>
      </c>
      <c r="AJ39" s="531">
        <f t="shared" si="34"/>
        <v>0</v>
      </c>
      <c r="AK39" s="531">
        <f t="shared" si="35"/>
        <v>0</v>
      </c>
      <c r="AL39" s="531">
        <f t="shared" si="36"/>
        <v>0</v>
      </c>
      <c r="AM39" s="531">
        <f t="shared" si="37"/>
        <v>0</v>
      </c>
      <c r="AN39" s="531">
        <f t="shared" si="38"/>
        <v>0</v>
      </c>
      <c r="AO39" s="531">
        <f t="shared" si="39"/>
        <v>0</v>
      </c>
      <c r="AP39" s="531">
        <f t="shared" si="40"/>
        <v>0</v>
      </c>
      <c r="AQ39" s="531">
        <f t="shared" si="41"/>
        <v>0</v>
      </c>
      <c r="AR39" s="531">
        <f t="shared" si="20"/>
        <v>0</v>
      </c>
      <c r="AS39" s="550">
        <v>0</v>
      </c>
      <c r="AT39" s="530">
        <v>0</v>
      </c>
      <c r="AU39" s="531">
        <f t="shared" si="28"/>
        <v>0</v>
      </c>
      <c r="AV39" s="531">
        <f t="shared" si="29"/>
        <v>0</v>
      </c>
      <c r="AW39" s="531">
        <f t="shared" si="30"/>
        <v>0</v>
      </c>
      <c r="AX39" s="531">
        <f t="shared" si="21"/>
        <v>0</v>
      </c>
      <c r="AY39" s="531">
        <f t="shared" si="22"/>
        <v>0</v>
      </c>
      <c r="AZ39" s="531">
        <f t="shared" si="22"/>
        <v>0</v>
      </c>
      <c r="BA39" s="531">
        <f t="shared" si="22"/>
        <v>0</v>
      </c>
      <c r="BB39" s="531">
        <f t="shared" si="22"/>
        <v>0</v>
      </c>
      <c r="BC39" s="531">
        <f t="shared" si="22"/>
        <v>0</v>
      </c>
      <c r="BD39" s="531">
        <f t="shared" si="22"/>
        <v>0</v>
      </c>
      <c r="BE39" s="531">
        <f t="shared" si="22"/>
        <v>0</v>
      </c>
      <c r="BF39" s="550">
        <v>0</v>
      </c>
      <c r="BG39" s="530">
        <f t="shared" si="23"/>
        <v>0</v>
      </c>
      <c r="BH39" s="531">
        <f t="shared" si="24"/>
        <v>0</v>
      </c>
      <c r="BI39" s="531">
        <f t="shared" si="24"/>
        <v>0</v>
      </c>
      <c r="BJ39" s="531">
        <f t="shared" si="24"/>
        <v>0</v>
      </c>
      <c r="BK39" s="531">
        <f t="shared" si="24"/>
        <v>0</v>
      </c>
      <c r="BL39" s="531">
        <f t="shared" si="24"/>
        <v>0</v>
      </c>
      <c r="BM39" s="531">
        <f t="shared" si="24"/>
        <v>0</v>
      </c>
      <c r="BN39" s="531">
        <f t="shared" si="24"/>
        <v>0</v>
      </c>
      <c r="BO39" s="531">
        <f t="shared" si="24"/>
        <v>0</v>
      </c>
      <c r="BP39" s="531">
        <f t="shared" si="24"/>
        <v>0</v>
      </c>
      <c r="BQ39" s="531">
        <f t="shared" si="24"/>
        <v>0</v>
      </c>
      <c r="BR39" s="531">
        <f t="shared" si="24"/>
        <v>0</v>
      </c>
      <c r="BS39" s="550">
        <v>0</v>
      </c>
    </row>
    <row r="40" spans="1:71">
      <c r="A40" s="527"/>
      <c r="B40" s="558">
        <v>93.667000000000002</v>
      </c>
      <c r="C40" s="529" t="s">
        <v>81</v>
      </c>
      <c r="D40" s="530">
        <v>0</v>
      </c>
      <c r="E40" s="531">
        <v>2618939.8999999994</v>
      </c>
      <c r="F40" s="531">
        <v>2807579.1599999997</v>
      </c>
      <c r="G40" s="531">
        <v>2723888.62</v>
      </c>
      <c r="H40" s="531">
        <v>2758501.2100000004</v>
      </c>
      <c r="I40" s="531">
        <v>2818574.9100000006</v>
      </c>
      <c r="J40" s="531">
        <v>2778760.1599999997</v>
      </c>
      <c r="K40" s="531">
        <v>2735606.31</v>
      </c>
      <c r="L40" s="531">
        <v>67391.529999999984</v>
      </c>
      <c r="M40" s="531">
        <v>-289.74</v>
      </c>
      <c r="N40" s="531">
        <v>-98560.950000000186</v>
      </c>
      <c r="O40" s="531">
        <v>0</v>
      </c>
      <c r="P40" s="531">
        <v>-5885282.1100000031</v>
      </c>
      <c r="Q40" s="550">
        <v>13325109</v>
      </c>
      <c r="R40" s="530">
        <v>0</v>
      </c>
      <c r="S40" s="531">
        <v>3245143</v>
      </c>
      <c r="T40" s="531">
        <v>3428292</v>
      </c>
      <c r="U40" s="531">
        <v>3515708</v>
      </c>
      <c r="V40" s="531">
        <v>3488524</v>
      </c>
      <c r="W40" s="531">
        <v>17929</v>
      </c>
      <c r="X40" s="531">
        <v>1059</v>
      </c>
      <c r="Y40" s="531">
        <v>0</v>
      </c>
      <c r="Z40" s="531">
        <v>-1154</v>
      </c>
      <c r="AA40" s="531">
        <v>0</v>
      </c>
      <c r="AB40" s="531">
        <v>-267190.46999999695</v>
      </c>
      <c r="AC40" s="531">
        <v>-2145195</v>
      </c>
      <c r="AD40" s="531">
        <f t="shared" si="25"/>
        <v>2054570.4699999969</v>
      </c>
      <c r="AE40" s="550">
        <v>13337686</v>
      </c>
      <c r="AF40" s="530">
        <v>0</v>
      </c>
      <c r="AG40" s="531">
        <v>3324369</v>
      </c>
      <c r="AH40" s="531">
        <v>3336405</v>
      </c>
      <c r="AI40" s="531">
        <v>3635155</v>
      </c>
      <c r="AJ40" s="531">
        <v>3312794</v>
      </c>
      <c r="AK40" s="531">
        <v>3267448</v>
      </c>
      <c r="AL40" s="531">
        <v>3129683.5600000015</v>
      </c>
      <c r="AM40" s="531">
        <v>-2462</v>
      </c>
      <c r="AN40" s="531">
        <v>-8463956</v>
      </c>
      <c r="AO40" s="531">
        <v>-35</v>
      </c>
      <c r="AP40" s="531">
        <v>-34971.380000002682</v>
      </c>
      <c r="AQ40" s="531">
        <v>-6844820.6300000008</v>
      </c>
      <c r="AR40" s="531">
        <f t="shared" si="20"/>
        <v>8678076.450000003</v>
      </c>
      <c r="AS40" s="550">
        <v>13337686</v>
      </c>
      <c r="AT40" s="530">
        <v>0</v>
      </c>
      <c r="AU40" s="531">
        <v>3290824</v>
      </c>
      <c r="AV40" s="531">
        <v>3654830</v>
      </c>
      <c r="AW40" s="531">
        <v>3500541</v>
      </c>
      <c r="AX40" s="531">
        <f t="shared" si="21"/>
        <v>361436.375</v>
      </c>
      <c r="AY40" s="531">
        <f t="shared" si="22"/>
        <v>361436.375</v>
      </c>
      <c r="AZ40" s="531">
        <f t="shared" si="22"/>
        <v>361436.375</v>
      </c>
      <c r="BA40" s="531">
        <f t="shared" si="22"/>
        <v>361436.375</v>
      </c>
      <c r="BB40" s="531">
        <f t="shared" si="22"/>
        <v>361436.375</v>
      </c>
      <c r="BC40" s="531">
        <f t="shared" si="22"/>
        <v>361436.375</v>
      </c>
      <c r="BD40" s="531">
        <f t="shared" si="22"/>
        <v>361436.375</v>
      </c>
      <c r="BE40" s="531">
        <f t="shared" si="22"/>
        <v>361436.375</v>
      </c>
      <c r="BF40" s="550">
        <v>13337686</v>
      </c>
      <c r="BG40" s="530">
        <f t="shared" si="23"/>
        <v>1111473.8333333333</v>
      </c>
      <c r="BH40" s="531">
        <f t="shared" si="24"/>
        <v>1111473.8333333333</v>
      </c>
      <c r="BI40" s="531">
        <f t="shared" si="24"/>
        <v>1111473.8333333333</v>
      </c>
      <c r="BJ40" s="531">
        <f t="shared" si="24"/>
        <v>1111473.8333333333</v>
      </c>
      <c r="BK40" s="531">
        <f t="shared" si="24"/>
        <v>1111473.8333333333</v>
      </c>
      <c r="BL40" s="531">
        <f t="shared" si="24"/>
        <v>1111473.8333333333</v>
      </c>
      <c r="BM40" s="531">
        <f t="shared" si="24"/>
        <v>1111473.8333333333</v>
      </c>
      <c r="BN40" s="531">
        <f t="shared" si="24"/>
        <v>1111473.8333333333</v>
      </c>
      <c r="BO40" s="531">
        <f t="shared" si="24"/>
        <v>1111473.8333333333</v>
      </c>
      <c r="BP40" s="531">
        <f t="shared" si="24"/>
        <v>1111473.8333333333</v>
      </c>
      <c r="BQ40" s="531">
        <f t="shared" si="24"/>
        <v>1111473.8333333333</v>
      </c>
      <c r="BR40" s="531">
        <f t="shared" si="24"/>
        <v>1111473.8333333333</v>
      </c>
      <c r="BS40" s="550">
        <v>13337686</v>
      </c>
    </row>
    <row r="41" spans="1:71">
      <c r="A41" s="527"/>
      <c r="B41" s="558" t="s">
        <v>484</v>
      </c>
      <c r="C41" s="529" t="s">
        <v>486</v>
      </c>
      <c r="D41" s="530"/>
      <c r="E41" s="531"/>
      <c r="F41" s="531"/>
      <c r="G41" s="531"/>
      <c r="H41" s="531"/>
      <c r="I41" s="531"/>
      <c r="J41" s="531"/>
      <c r="K41" s="531"/>
      <c r="L41" s="531"/>
      <c r="M41" s="531"/>
      <c r="N41" s="531"/>
      <c r="O41" s="531"/>
      <c r="P41" s="531">
        <v>0</v>
      </c>
      <c r="Q41" s="550">
        <v>0</v>
      </c>
      <c r="R41" s="530">
        <v>0</v>
      </c>
      <c r="S41" s="531">
        <v>0</v>
      </c>
      <c r="T41" s="531">
        <v>0</v>
      </c>
      <c r="U41" s="531">
        <v>0</v>
      </c>
      <c r="V41" s="531">
        <v>0</v>
      </c>
      <c r="W41" s="531">
        <v>0</v>
      </c>
      <c r="X41" s="531">
        <v>0</v>
      </c>
      <c r="Y41" s="531">
        <v>0</v>
      </c>
      <c r="Z41" s="531">
        <v>0</v>
      </c>
      <c r="AA41" s="531">
        <v>0</v>
      </c>
      <c r="AB41" s="531">
        <v>0</v>
      </c>
      <c r="AC41" s="531">
        <v>0</v>
      </c>
      <c r="AD41" s="531">
        <f t="shared" si="25"/>
        <v>0</v>
      </c>
      <c r="AE41" s="550">
        <v>0</v>
      </c>
      <c r="AF41" s="530">
        <v>0</v>
      </c>
      <c r="AG41" s="531">
        <v>0</v>
      </c>
      <c r="AH41" s="531">
        <v>0</v>
      </c>
      <c r="AI41" s="531">
        <v>0</v>
      </c>
      <c r="AJ41" s="531">
        <v>0</v>
      </c>
      <c r="AK41" s="531">
        <v>0</v>
      </c>
      <c r="AL41" s="531">
        <v>0</v>
      </c>
      <c r="AM41" s="531">
        <v>0</v>
      </c>
      <c r="AN41" s="531">
        <v>0</v>
      </c>
      <c r="AO41" s="531">
        <v>0</v>
      </c>
      <c r="AP41" s="531">
        <v>0</v>
      </c>
      <c r="AQ41" s="531">
        <v>0</v>
      </c>
      <c r="AR41" s="531">
        <f t="shared" si="20"/>
        <v>1000000</v>
      </c>
      <c r="AS41" s="550">
        <v>1000000</v>
      </c>
      <c r="AT41" s="530">
        <v>0</v>
      </c>
      <c r="AU41" s="531">
        <v>0</v>
      </c>
      <c r="AV41" s="531">
        <v>0</v>
      </c>
      <c r="AW41" s="531">
        <v>7705</v>
      </c>
      <c r="AX41" s="531">
        <f t="shared" si="21"/>
        <v>584808.25</v>
      </c>
      <c r="AY41" s="531">
        <f t="shared" si="22"/>
        <v>584808.25</v>
      </c>
      <c r="AZ41" s="531">
        <f t="shared" si="22"/>
        <v>584808.25</v>
      </c>
      <c r="BA41" s="531">
        <f t="shared" si="22"/>
        <v>584808.25</v>
      </c>
      <c r="BB41" s="531">
        <f t="shared" si="22"/>
        <v>584808.25</v>
      </c>
      <c r="BC41" s="531">
        <f t="shared" si="22"/>
        <v>584808.25</v>
      </c>
      <c r="BD41" s="531">
        <f t="shared" si="22"/>
        <v>584808.25</v>
      </c>
      <c r="BE41" s="531">
        <f t="shared" si="22"/>
        <v>584808.25</v>
      </c>
      <c r="BF41" s="550">
        <v>4686171</v>
      </c>
      <c r="BG41" s="530">
        <f t="shared" si="23"/>
        <v>0</v>
      </c>
      <c r="BH41" s="531">
        <f t="shared" si="24"/>
        <v>0</v>
      </c>
      <c r="BI41" s="531">
        <f t="shared" si="24"/>
        <v>0</v>
      </c>
      <c r="BJ41" s="531">
        <f t="shared" si="24"/>
        <v>0</v>
      </c>
      <c r="BK41" s="531">
        <f t="shared" si="24"/>
        <v>0</v>
      </c>
      <c r="BL41" s="531">
        <f t="shared" si="24"/>
        <v>0</v>
      </c>
      <c r="BM41" s="531">
        <f t="shared" si="24"/>
        <v>0</v>
      </c>
      <c r="BN41" s="531">
        <f t="shared" si="24"/>
        <v>0</v>
      </c>
      <c r="BO41" s="531">
        <f t="shared" si="24"/>
        <v>0</v>
      </c>
      <c r="BP41" s="531">
        <f t="shared" si="24"/>
        <v>0</v>
      </c>
      <c r="BQ41" s="531">
        <f t="shared" si="24"/>
        <v>0</v>
      </c>
      <c r="BR41" s="531">
        <f t="shared" si="24"/>
        <v>0</v>
      </c>
      <c r="BS41" s="550">
        <v>0</v>
      </c>
    </row>
    <row r="42" spans="1:71" ht="15" customHeight="1">
      <c r="A42" s="527"/>
      <c r="B42" s="521" t="s">
        <v>125</v>
      </c>
      <c r="C42" s="529" t="s">
        <v>112</v>
      </c>
      <c r="D42" s="530">
        <v>91791.760000000009</v>
      </c>
      <c r="E42" s="531">
        <v>101117.52000000002</v>
      </c>
      <c r="F42" s="531">
        <v>107195.89000000001</v>
      </c>
      <c r="G42" s="531">
        <v>103863.15</v>
      </c>
      <c r="H42" s="531">
        <v>104219.66000000002</v>
      </c>
      <c r="I42" s="531">
        <v>109513.35000000002</v>
      </c>
      <c r="J42" s="531">
        <v>104994.45000000001</v>
      </c>
      <c r="K42" s="531">
        <v>105220.13999999997</v>
      </c>
      <c r="L42" s="531">
        <v>226272.61000000004</v>
      </c>
      <c r="M42" s="531">
        <v>106100.65</v>
      </c>
      <c r="N42" s="531">
        <v>96455.26999999996</v>
      </c>
      <c r="O42" s="531">
        <v>152876.85</v>
      </c>
      <c r="P42" s="531">
        <v>119469.69999999995</v>
      </c>
      <c r="Q42" s="550">
        <v>1529091</v>
      </c>
      <c r="R42" s="530">
        <v>104413.34999999999</v>
      </c>
      <c r="S42" s="531">
        <v>101101</v>
      </c>
      <c r="T42" s="531">
        <v>90173</v>
      </c>
      <c r="U42" s="531">
        <v>106825</v>
      </c>
      <c r="V42" s="531">
        <v>107720</v>
      </c>
      <c r="W42" s="531">
        <v>190350</v>
      </c>
      <c r="X42" s="531">
        <v>125208</v>
      </c>
      <c r="Y42" s="531">
        <v>135848</v>
      </c>
      <c r="Z42" s="531">
        <v>96201</v>
      </c>
      <c r="AA42" s="531">
        <v>136186</v>
      </c>
      <c r="AB42" s="531">
        <v>134056.94000000015</v>
      </c>
      <c r="AC42" s="531">
        <v>123898</v>
      </c>
      <c r="AD42" s="531">
        <f t="shared" si="25"/>
        <v>31716.709999999759</v>
      </c>
      <c r="AE42" s="550">
        <v>1483697</v>
      </c>
      <c r="AF42" s="530">
        <v>106066</v>
      </c>
      <c r="AG42" s="531">
        <v>107438</v>
      </c>
      <c r="AH42" s="531">
        <v>106161</v>
      </c>
      <c r="AI42" s="531">
        <v>114635</v>
      </c>
      <c r="AJ42" s="531">
        <v>107844</v>
      </c>
      <c r="AK42" s="531">
        <v>109897</v>
      </c>
      <c r="AL42" s="531">
        <v>153301.52999999994</v>
      </c>
      <c r="AM42" s="531">
        <v>108285</v>
      </c>
      <c r="AN42" s="531">
        <v>260589</v>
      </c>
      <c r="AO42" s="531">
        <v>145747</v>
      </c>
      <c r="AP42" s="531">
        <v>133548.05000000005</v>
      </c>
      <c r="AQ42" s="531">
        <v>110734.95000000001</v>
      </c>
      <c r="AR42" s="531">
        <f t="shared" si="20"/>
        <v>33183.47000000003</v>
      </c>
      <c r="AS42" s="550">
        <v>1597430</v>
      </c>
      <c r="AT42" s="530">
        <v>105489</v>
      </c>
      <c r="AU42" s="531">
        <v>114953</v>
      </c>
      <c r="AV42" s="531">
        <v>119088</v>
      </c>
      <c r="AW42" s="531">
        <v>107903</v>
      </c>
      <c r="AX42" s="531">
        <f t="shared" si="21"/>
        <v>156461.875</v>
      </c>
      <c r="AY42" s="531">
        <f t="shared" ref="AY42:BE47" si="42">AX42</f>
        <v>156461.875</v>
      </c>
      <c r="AZ42" s="531">
        <f t="shared" si="42"/>
        <v>156461.875</v>
      </c>
      <c r="BA42" s="531">
        <f t="shared" si="42"/>
        <v>156461.875</v>
      </c>
      <c r="BB42" s="531">
        <f t="shared" si="42"/>
        <v>156461.875</v>
      </c>
      <c r="BC42" s="531">
        <f t="shared" si="42"/>
        <v>156461.875</v>
      </c>
      <c r="BD42" s="531">
        <f t="shared" si="42"/>
        <v>156461.875</v>
      </c>
      <c r="BE42" s="531">
        <f t="shared" si="42"/>
        <v>156461.875</v>
      </c>
      <c r="BF42" s="550">
        <v>1699128</v>
      </c>
      <c r="BG42" s="530">
        <f t="shared" si="23"/>
        <v>117604</v>
      </c>
      <c r="BH42" s="531">
        <f t="shared" ref="BH42:BR47" si="43">BG42</f>
        <v>117604</v>
      </c>
      <c r="BI42" s="531">
        <f t="shared" si="43"/>
        <v>117604</v>
      </c>
      <c r="BJ42" s="531">
        <f t="shared" si="43"/>
        <v>117604</v>
      </c>
      <c r="BK42" s="531">
        <f t="shared" si="43"/>
        <v>117604</v>
      </c>
      <c r="BL42" s="531">
        <f t="shared" si="43"/>
        <v>117604</v>
      </c>
      <c r="BM42" s="531">
        <f t="shared" si="43"/>
        <v>117604</v>
      </c>
      <c r="BN42" s="531">
        <f t="shared" si="43"/>
        <v>117604</v>
      </c>
      <c r="BO42" s="531">
        <f t="shared" si="43"/>
        <v>117604</v>
      </c>
      <c r="BP42" s="531">
        <f t="shared" si="43"/>
        <v>117604</v>
      </c>
      <c r="BQ42" s="531">
        <f t="shared" si="43"/>
        <v>117604</v>
      </c>
      <c r="BR42" s="531">
        <f t="shared" si="43"/>
        <v>117604</v>
      </c>
      <c r="BS42" s="550">
        <v>1411248</v>
      </c>
    </row>
    <row r="43" spans="1:71" s="557" customFormat="1">
      <c r="A43" s="551" t="s">
        <v>344</v>
      </c>
      <c r="B43" s="552"/>
      <c r="C43" s="553"/>
      <c r="D43" s="554">
        <v>91791.760000000009</v>
      </c>
      <c r="E43" s="555">
        <v>2720057.4199999995</v>
      </c>
      <c r="F43" s="555">
        <v>2914775.05</v>
      </c>
      <c r="G43" s="555">
        <v>2827751.77</v>
      </c>
      <c r="H43" s="555">
        <v>2862720.8700000006</v>
      </c>
      <c r="I43" s="555">
        <v>2928088.2600000007</v>
      </c>
      <c r="J43" s="555">
        <v>2883754.61</v>
      </c>
      <c r="K43" s="555">
        <v>2840826.45</v>
      </c>
      <c r="L43" s="555">
        <v>293664.14</v>
      </c>
      <c r="M43" s="555">
        <v>105810.90999999999</v>
      </c>
      <c r="N43" s="555">
        <v>-2105.6800000002258</v>
      </c>
      <c r="O43" s="555">
        <v>152876.85</v>
      </c>
      <c r="P43" s="555">
        <v>-5765812.4100000039</v>
      </c>
      <c r="Q43" s="556">
        <v>14854200</v>
      </c>
      <c r="R43" s="554">
        <f>SUM(R29:R42)</f>
        <v>104413.34999999999</v>
      </c>
      <c r="S43" s="554">
        <f>SUM(S29:S42)</f>
        <v>3346244</v>
      </c>
      <c r="T43" s="555">
        <f t="shared" ref="T43:AT43" si="44">SUM(T29:T42)</f>
        <v>3518465</v>
      </c>
      <c r="U43" s="555">
        <f t="shared" si="44"/>
        <v>3622533</v>
      </c>
      <c r="V43" s="555">
        <f t="shared" si="44"/>
        <v>3596244</v>
      </c>
      <c r="W43" s="555">
        <f t="shared" si="44"/>
        <v>208279</v>
      </c>
      <c r="X43" s="555">
        <f t="shared" si="44"/>
        <v>126267</v>
      </c>
      <c r="Y43" s="555">
        <f t="shared" si="44"/>
        <v>135848</v>
      </c>
      <c r="Z43" s="555">
        <f t="shared" si="44"/>
        <v>95047</v>
      </c>
      <c r="AA43" s="555">
        <f t="shared" si="44"/>
        <v>136186</v>
      </c>
      <c r="AB43" s="555">
        <f t="shared" si="44"/>
        <v>-133133.5299999968</v>
      </c>
      <c r="AC43" s="555">
        <f t="shared" si="44"/>
        <v>-2021297</v>
      </c>
      <c r="AD43" s="555">
        <f t="shared" si="44"/>
        <v>12386464.179999996</v>
      </c>
      <c r="AE43" s="556">
        <f>SUM(AE29:AE42)</f>
        <v>25121560</v>
      </c>
      <c r="AF43" s="554">
        <f t="shared" si="44"/>
        <v>106066</v>
      </c>
      <c r="AG43" s="555">
        <f t="shared" si="44"/>
        <v>3431807</v>
      </c>
      <c r="AH43" s="555">
        <f t="shared" si="44"/>
        <v>3442566</v>
      </c>
      <c r="AI43" s="555">
        <f t="shared" si="44"/>
        <v>3749790</v>
      </c>
      <c r="AJ43" s="555">
        <f t="shared" si="44"/>
        <v>3420638</v>
      </c>
      <c r="AK43" s="555">
        <f t="shared" si="44"/>
        <v>3377345</v>
      </c>
      <c r="AL43" s="555">
        <f t="shared" si="44"/>
        <v>3282985.0900000012</v>
      </c>
      <c r="AM43" s="555">
        <f t="shared" si="44"/>
        <v>105823</v>
      </c>
      <c r="AN43" s="555">
        <f t="shared" si="44"/>
        <v>-8203367</v>
      </c>
      <c r="AO43" s="555">
        <f t="shared" si="44"/>
        <v>145712</v>
      </c>
      <c r="AP43" s="555">
        <f>SUM(AP29:AP42)</f>
        <v>98576.669999997364</v>
      </c>
      <c r="AQ43" s="555">
        <f>SUM(AQ29:AQ42)</f>
        <v>-322259.90000000055</v>
      </c>
      <c r="AR43" s="555">
        <f t="shared" si="20"/>
        <v>9711260.1400000006</v>
      </c>
      <c r="AS43" s="556">
        <f t="shared" si="44"/>
        <v>22346942</v>
      </c>
      <c r="AT43" s="554">
        <f t="shared" si="44"/>
        <v>105489</v>
      </c>
      <c r="AU43" s="555">
        <f>SUM(AU29:AU42)</f>
        <v>3405777</v>
      </c>
      <c r="AV43" s="555">
        <f>SUM(AV29:AV42)</f>
        <v>3773918</v>
      </c>
      <c r="AW43" s="555">
        <f>SUM(AW29:AW42)</f>
        <v>3616149</v>
      </c>
      <c r="AX43" s="555">
        <f t="shared" si="21"/>
        <v>1102706.5</v>
      </c>
      <c r="AY43" s="555">
        <f t="shared" si="42"/>
        <v>1102706.5</v>
      </c>
      <c r="AZ43" s="555">
        <f t="shared" si="42"/>
        <v>1102706.5</v>
      </c>
      <c r="BA43" s="555">
        <f t="shared" si="42"/>
        <v>1102706.5</v>
      </c>
      <c r="BB43" s="555">
        <f t="shared" si="42"/>
        <v>1102706.5</v>
      </c>
      <c r="BC43" s="555">
        <f t="shared" si="42"/>
        <v>1102706.5</v>
      </c>
      <c r="BD43" s="555">
        <f t="shared" si="42"/>
        <v>1102706.5</v>
      </c>
      <c r="BE43" s="555">
        <f t="shared" si="42"/>
        <v>1102706.5</v>
      </c>
      <c r="BF43" s="556">
        <f t="shared" ref="BF43" si="45">SUM(BF29:BF42)</f>
        <v>19722985</v>
      </c>
      <c r="BG43" s="554">
        <f t="shared" si="23"/>
        <v>1229077.8333333333</v>
      </c>
      <c r="BH43" s="555">
        <f t="shared" si="43"/>
        <v>1229077.8333333333</v>
      </c>
      <c r="BI43" s="555">
        <f t="shared" si="43"/>
        <v>1229077.8333333333</v>
      </c>
      <c r="BJ43" s="555">
        <f t="shared" si="43"/>
        <v>1229077.8333333333</v>
      </c>
      <c r="BK43" s="555">
        <f t="shared" si="43"/>
        <v>1229077.8333333333</v>
      </c>
      <c r="BL43" s="555">
        <f t="shared" si="43"/>
        <v>1229077.8333333333</v>
      </c>
      <c r="BM43" s="555">
        <f t="shared" si="43"/>
        <v>1229077.8333333333</v>
      </c>
      <c r="BN43" s="555">
        <f t="shared" si="43"/>
        <v>1229077.8333333333</v>
      </c>
      <c r="BO43" s="555">
        <f t="shared" si="43"/>
        <v>1229077.8333333333</v>
      </c>
      <c r="BP43" s="555">
        <f t="shared" si="43"/>
        <v>1229077.8333333333</v>
      </c>
      <c r="BQ43" s="555">
        <f t="shared" si="43"/>
        <v>1229077.8333333333</v>
      </c>
      <c r="BR43" s="555">
        <f t="shared" si="43"/>
        <v>1229077.8333333333</v>
      </c>
      <c r="BS43" s="556">
        <v>14748934</v>
      </c>
    </row>
    <row r="44" spans="1:71" ht="15" customHeight="1">
      <c r="A44" s="527" t="s">
        <v>34</v>
      </c>
      <c r="B44" s="583" t="s">
        <v>89</v>
      </c>
      <c r="C44" s="529" t="s">
        <v>88</v>
      </c>
      <c r="D44" s="530">
        <v>4559.7299999999996</v>
      </c>
      <c r="E44" s="531">
        <v>4131.3599999999997</v>
      </c>
      <c r="F44" s="531">
        <v>4131.3599999999997</v>
      </c>
      <c r="G44" s="531">
        <v>4131.3599999999997</v>
      </c>
      <c r="H44" s="531">
        <v>4151.3599999999997</v>
      </c>
      <c r="I44" s="531">
        <v>4151.3599999999997</v>
      </c>
      <c r="J44" s="531">
        <v>6113.45</v>
      </c>
      <c r="K44" s="531">
        <v>4151.3599999999997</v>
      </c>
      <c r="L44" s="531">
        <v>6063.16</v>
      </c>
      <c r="M44" s="531">
        <v>4151.3599999999997</v>
      </c>
      <c r="N44" s="531">
        <v>4151.3599999999997</v>
      </c>
      <c r="O44" s="531">
        <v>6904.83</v>
      </c>
      <c r="P44" s="531"/>
      <c r="Q44" s="550">
        <v>57808</v>
      </c>
      <c r="R44" s="530">
        <v>4912.6099999999997</v>
      </c>
      <c r="S44" s="531">
        <v>4913</v>
      </c>
      <c r="T44" s="531">
        <v>4913</v>
      </c>
      <c r="U44" s="531">
        <v>5505</v>
      </c>
      <c r="V44" s="531">
        <v>5175</v>
      </c>
      <c r="W44" s="531">
        <v>4913</v>
      </c>
      <c r="X44" s="531">
        <v>5067</v>
      </c>
      <c r="Y44" s="531">
        <v>5913</v>
      </c>
      <c r="Z44" s="531">
        <v>4913</v>
      </c>
      <c r="AA44" s="531">
        <v>4913</v>
      </c>
      <c r="AB44" s="531">
        <v>4913</v>
      </c>
      <c r="AC44" s="531">
        <v>4913</v>
      </c>
      <c r="AD44" s="531">
        <f t="shared" si="25"/>
        <v>19040.39</v>
      </c>
      <c r="AE44" s="550">
        <v>80004</v>
      </c>
      <c r="AF44" s="530">
        <v>273</v>
      </c>
      <c r="AG44" s="531">
        <v>5125</v>
      </c>
      <c r="AH44" s="531">
        <v>5077</v>
      </c>
      <c r="AI44" s="531">
        <v>9968</v>
      </c>
      <c r="AJ44" s="531">
        <v>5065</v>
      </c>
      <c r="AK44" s="531">
        <v>5360</v>
      </c>
      <c r="AL44" s="531">
        <v>5150</v>
      </c>
      <c r="AM44" s="531">
        <v>5110</v>
      </c>
      <c r="AN44" s="531">
        <v>11757</v>
      </c>
      <c r="AO44" s="531">
        <v>7851</v>
      </c>
      <c r="AP44" s="531">
        <v>5263.71</v>
      </c>
      <c r="AQ44" s="531">
        <v>5162</v>
      </c>
      <c r="AR44" s="531">
        <f t="shared" si="20"/>
        <v>7259.2900000000009</v>
      </c>
      <c r="AS44" s="550">
        <v>78421</v>
      </c>
      <c r="AT44" s="530">
        <v>154</v>
      </c>
      <c r="AU44" s="531">
        <v>281</v>
      </c>
      <c r="AV44" s="531">
        <v>0</v>
      </c>
      <c r="AW44" s="531">
        <v>230</v>
      </c>
      <c r="AX44" s="531">
        <f t="shared" si="21"/>
        <v>-83.125</v>
      </c>
      <c r="AY44" s="531">
        <f t="shared" si="42"/>
        <v>-83.125</v>
      </c>
      <c r="AZ44" s="531">
        <f t="shared" si="42"/>
        <v>-83.125</v>
      </c>
      <c r="BA44" s="531">
        <f t="shared" si="42"/>
        <v>-83.125</v>
      </c>
      <c r="BB44" s="531">
        <f t="shared" si="42"/>
        <v>-83.125</v>
      </c>
      <c r="BC44" s="531">
        <f t="shared" si="42"/>
        <v>-83.125</v>
      </c>
      <c r="BD44" s="531">
        <f t="shared" si="42"/>
        <v>-83.125</v>
      </c>
      <c r="BE44" s="531">
        <f t="shared" si="42"/>
        <v>-83.125</v>
      </c>
      <c r="BF44" s="550">
        <v>0</v>
      </c>
      <c r="BG44" s="530">
        <f t="shared" si="23"/>
        <v>0</v>
      </c>
      <c r="BH44" s="531">
        <f t="shared" si="43"/>
        <v>0</v>
      </c>
      <c r="BI44" s="531">
        <f t="shared" si="43"/>
        <v>0</v>
      </c>
      <c r="BJ44" s="531">
        <f t="shared" si="43"/>
        <v>0</v>
      </c>
      <c r="BK44" s="531">
        <f t="shared" si="43"/>
        <v>0</v>
      </c>
      <c r="BL44" s="531">
        <f t="shared" si="43"/>
        <v>0</v>
      </c>
      <c r="BM44" s="531">
        <f t="shared" si="43"/>
        <v>0</v>
      </c>
      <c r="BN44" s="531">
        <f t="shared" si="43"/>
        <v>0</v>
      </c>
      <c r="BO44" s="531">
        <f t="shared" si="43"/>
        <v>0</v>
      </c>
      <c r="BP44" s="531">
        <f t="shared" si="43"/>
        <v>0</v>
      </c>
      <c r="BQ44" s="531">
        <f t="shared" si="43"/>
        <v>0</v>
      </c>
      <c r="BR44" s="531">
        <f t="shared" si="43"/>
        <v>0</v>
      </c>
      <c r="BS44" s="550">
        <v>0</v>
      </c>
    </row>
    <row r="45" spans="1:71" ht="15" customHeight="1">
      <c r="A45" s="527"/>
      <c r="B45" s="583" t="s">
        <v>87</v>
      </c>
      <c r="C45" s="529" t="s">
        <v>86</v>
      </c>
      <c r="D45" s="530">
        <v>0</v>
      </c>
      <c r="E45" s="531">
        <v>0</v>
      </c>
      <c r="F45" s="531">
        <v>0</v>
      </c>
      <c r="G45" s="531">
        <v>0</v>
      </c>
      <c r="H45" s="531">
        <v>0</v>
      </c>
      <c r="I45" s="531">
        <v>0</v>
      </c>
      <c r="J45" s="531">
        <v>0</v>
      </c>
      <c r="K45" s="531">
        <v>0</v>
      </c>
      <c r="L45" s="531">
        <v>0</v>
      </c>
      <c r="M45" s="531">
        <v>0</v>
      </c>
      <c r="N45" s="531">
        <v>0</v>
      </c>
      <c r="O45" s="531">
        <v>0</v>
      </c>
      <c r="P45" s="531"/>
      <c r="Q45" s="550">
        <v>0</v>
      </c>
      <c r="R45" s="530">
        <v>0</v>
      </c>
      <c r="S45" s="531">
        <v>0</v>
      </c>
      <c r="T45" s="531">
        <v>0</v>
      </c>
      <c r="U45" s="531">
        <v>0</v>
      </c>
      <c r="V45" s="531">
        <v>0</v>
      </c>
      <c r="W45" s="531">
        <v>0</v>
      </c>
      <c r="X45" s="531">
        <v>0</v>
      </c>
      <c r="Y45" s="531">
        <v>0</v>
      </c>
      <c r="Z45" s="531">
        <v>0</v>
      </c>
      <c r="AA45" s="531">
        <v>0</v>
      </c>
      <c r="AB45" s="531">
        <v>0</v>
      </c>
      <c r="AC45" s="531">
        <v>0</v>
      </c>
      <c r="AD45" s="531">
        <f t="shared" si="25"/>
        <v>0</v>
      </c>
      <c r="AE45" s="550">
        <v>0</v>
      </c>
      <c r="AF45" s="530">
        <v>0</v>
      </c>
      <c r="AG45" s="531">
        <f t="shared" ref="AG45" si="46">(AS45-AF45)/11</f>
        <v>0</v>
      </c>
      <c r="AH45" s="531">
        <f t="shared" si="32"/>
        <v>0</v>
      </c>
      <c r="AI45" s="531">
        <f t="shared" si="33"/>
        <v>0</v>
      </c>
      <c r="AJ45" s="531">
        <f t="shared" si="34"/>
        <v>0</v>
      </c>
      <c r="AK45" s="531">
        <f t="shared" si="35"/>
        <v>0</v>
      </c>
      <c r="AL45" s="531">
        <f t="shared" si="36"/>
        <v>0</v>
      </c>
      <c r="AM45" s="531">
        <f t="shared" si="37"/>
        <v>0</v>
      </c>
      <c r="AN45" s="531">
        <f t="shared" si="38"/>
        <v>0</v>
      </c>
      <c r="AO45" s="531">
        <f t="shared" si="39"/>
        <v>0</v>
      </c>
      <c r="AP45" s="531">
        <f t="shared" si="40"/>
        <v>0</v>
      </c>
      <c r="AQ45" s="531">
        <f t="shared" si="41"/>
        <v>0</v>
      </c>
      <c r="AR45" s="531">
        <f t="shared" si="20"/>
        <v>0</v>
      </c>
      <c r="AS45" s="550">
        <v>0</v>
      </c>
      <c r="AT45" s="530">
        <v>4933</v>
      </c>
      <c r="AU45" s="531">
        <v>4933</v>
      </c>
      <c r="AV45" s="531">
        <v>4933</v>
      </c>
      <c r="AW45" s="531">
        <v>5589</v>
      </c>
      <c r="AX45" s="531">
        <f t="shared" si="21"/>
        <v>7836.875</v>
      </c>
      <c r="AY45" s="531">
        <f t="shared" si="42"/>
        <v>7836.875</v>
      </c>
      <c r="AZ45" s="531">
        <f t="shared" si="42"/>
        <v>7836.875</v>
      </c>
      <c r="BA45" s="531">
        <f t="shared" si="42"/>
        <v>7836.875</v>
      </c>
      <c r="BB45" s="531">
        <f t="shared" si="42"/>
        <v>7836.875</v>
      </c>
      <c r="BC45" s="531">
        <f t="shared" si="42"/>
        <v>7836.875</v>
      </c>
      <c r="BD45" s="531">
        <f t="shared" si="42"/>
        <v>7836.875</v>
      </c>
      <c r="BE45" s="531">
        <f t="shared" si="42"/>
        <v>7836.875</v>
      </c>
      <c r="BF45" s="550">
        <v>83083</v>
      </c>
      <c r="BG45" s="530">
        <f t="shared" si="23"/>
        <v>7450.75</v>
      </c>
      <c r="BH45" s="531">
        <f t="shared" si="43"/>
        <v>7450.75</v>
      </c>
      <c r="BI45" s="531">
        <f t="shared" si="43"/>
        <v>7450.75</v>
      </c>
      <c r="BJ45" s="531">
        <f t="shared" si="43"/>
        <v>7450.75</v>
      </c>
      <c r="BK45" s="531">
        <f t="shared" si="43"/>
        <v>7450.75</v>
      </c>
      <c r="BL45" s="531">
        <f t="shared" si="43"/>
        <v>7450.75</v>
      </c>
      <c r="BM45" s="531">
        <f t="shared" si="43"/>
        <v>7450.75</v>
      </c>
      <c r="BN45" s="531">
        <f t="shared" si="43"/>
        <v>7450.75</v>
      </c>
      <c r="BO45" s="531">
        <f t="shared" si="43"/>
        <v>7450.75</v>
      </c>
      <c r="BP45" s="531">
        <f t="shared" si="43"/>
        <v>7450.75</v>
      </c>
      <c r="BQ45" s="531">
        <f t="shared" si="43"/>
        <v>7450.75</v>
      </c>
      <c r="BR45" s="531">
        <f t="shared" si="43"/>
        <v>7450.75</v>
      </c>
      <c r="BS45" s="550">
        <v>89409</v>
      </c>
    </row>
    <row r="46" spans="1:71" s="512" customFormat="1" ht="15" customHeight="1">
      <c r="A46" s="527" t="s">
        <v>345</v>
      </c>
      <c r="B46" s="521"/>
      <c r="C46" s="529"/>
      <c r="D46" s="559">
        <f t="shared" ref="D46:AS46" si="47">SUM(D44:D45)</f>
        <v>4559.7299999999996</v>
      </c>
      <c r="E46" s="560">
        <f t="shared" si="47"/>
        <v>4131.3599999999997</v>
      </c>
      <c r="F46" s="560">
        <f t="shared" si="47"/>
        <v>4131.3599999999997</v>
      </c>
      <c r="G46" s="560">
        <f t="shared" si="47"/>
        <v>4131.3599999999997</v>
      </c>
      <c r="H46" s="560">
        <f t="shared" si="47"/>
        <v>4151.3599999999997</v>
      </c>
      <c r="I46" s="560">
        <f t="shared" si="47"/>
        <v>4151.3599999999997</v>
      </c>
      <c r="J46" s="560">
        <f t="shared" si="47"/>
        <v>6113.45</v>
      </c>
      <c r="K46" s="560">
        <f t="shared" si="47"/>
        <v>4151.3599999999997</v>
      </c>
      <c r="L46" s="560">
        <f t="shared" si="47"/>
        <v>6063.16</v>
      </c>
      <c r="M46" s="560">
        <f t="shared" si="47"/>
        <v>4151.3599999999997</v>
      </c>
      <c r="N46" s="560">
        <f t="shared" si="47"/>
        <v>4151.3599999999997</v>
      </c>
      <c r="O46" s="560">
        <f t="shared" si="47"/>
        <v>6904.83</v>
      </c>
      <c r="P46" s="560">
        <f t="shared" si="47"/>
        <v>0</v>
      </c>
      <c r="Q46" s="550">
        <f t="shared" si="47"/>
        <v>57808</v>
      </c>
      <c r="R46" s="530">
        <f t="shared" si="47"/>
        <v>4912.6099999999997</v>
      </c>
      <c r="S46" s="531">
        <f t="shared" si="47"/>
        <v>4913</v>
      </c>
      <c r="T46" s="531">
        <f t="shared" si="47"/>
        <v>4913</v>
      </c>
      <c r="U46" s="531">
        <f t="shared" si="47"/>
        <v>5505</v>
      </c>
      <c r="V46" s="531">
        <f t="shared" si="47"/>
        <v>5175</v>
      </c>
      <c r="W46" s="531">
        <f t="shared" si="47"/>
        <v>4913</v>
      </c>
      <c r="X46" s="531">
        <f t="shared" si="47"/>
        <v>5067</v>
      </c>
      <c r="Y46" s="531">
        <f t="shared" si="47"/>
        <v>5913</v>
      </c>
      <c r="Z46" s="531">
        <f t="shared" si="47"/>
        <v>4913</v>
      </c>
      <c r="AA46" s="531">
        <f t="shared" si="47"/>
        <v>4913</v>
      </c>
      <c r="AB46" s="531">
        <f t="shared" si="47"/>
        <v>4913</v>
      </c>
      <c r="AC46" s="531">
        <f t="shared" si="47"/>
        <v>4913</v>
      </c>
      <c r="AD46" s="560">
        <f t="shared" si="47"/>
        <v>19040.39</v>
      </c>
      <c r="AE46" s="550">
        <f t="shared" si="47"/>
        <v>80004</v>
      </c>
      <c r="AF46" s="559">
        <f t="shared" si="47"/>
        <v>273</v>
      </c>
      <c r="AG46" s="560">
        <f t="shared" si="47"/>
        <v>5125</v>
      </c>
      <c r="AH46" s="560">
        <f t="shared" si="47"/>
        <v>5077</v>
      </c>
      <c r="AI46" s="560">
        <f t="shared" si="47"/>
        <v>9968</v>
      </c>
      <c r="AJ46" s="560">
        <f t="shared" si="47"/>
        <v>5065</v>
      </c>
      <c r="AK46" s="560">
        <f t="shared" si="47"/>
        <v>5360</v>
      </c>
      <c r="AL46" s="560">
        <f t="shared" si="47"/>
        <v>5150</v>
      </c>
      <c r="AM46" s="560">
        <f t="shared" si="47"/>
        <v>5110</v>
      </c>
      <c r="AN46" s="560">
        <f t="shared" si="47"/>
        <v>11757</v>
      </c>
      <c r="AO46" s="560">
        <f t="shared" si="47"/>
        <v>7851</v>
      </c>
      <c r="AP46" s="560">
        <f>SUM(AP44:AP45)</f>
        <v>5263.71</v>
      </c>
      <c r="AQ46" s="560">
        <f>SUM(AQ44:AQ45)</f>
        <v>5162</v>
      </c>
      <c r="AR46" s="560">
        <f t="shared" si="20"/>
        <v>7259.2900000000009</v>
      </c>
      <c r="AS46" s="550">
        <f t="shared" si="47"/>
        <v>78421</v>
      </c>
      <c r="AT46" s="559">
        <f t="shared" ref="AT46" si="48">SUM(AT44:AT45)</f>
        <v>5087</v>
      </c>
      <c r="AU46" s="560">
        <f>SUM(AU44:AU45)</f>
        <v>5214</v>
      </c>
      <c r="AV46" s="560">
        <f>SUM(AV44:AV45)</f>
        <v>4933</v>
      </c>
      <c r="AW46" s="560">
        <f>SUM(AW44:AW45)</f>
        <v>5819</v>
      </c>
      <c r="AX46" s="560">
        <f t="shared" si="21"/>
        <v>7753.75</v>
      </c>
      <c r="AY46" s="560">
        <f t="shared" si="42"/>
        <v>7753.75</v>
      </c>
      <c r="AZ46" s="560">
        <f t="shared" si="42"/>
        <v>7753.75</v>
      </c>
      <c r="BA46" s="560">
        <f t="shared" si="42"/>
        <v>7753.75</v>
      </c>
      <c r="BB46" s="560">
        <f t="shared" si="42"/>
        <v>7753.75</v>
      </c>
      <c r="BC46" s="560">
        <f t="shared" si="42"/>
        <v>7753.75</v>
      </c>
      <c r="BD46" s="560">
        <f t="shared" si="42"/>
        <v>7753.75</v>
      </c>
      <c r="BE46" s="560">
        <f t="shared" si="42"/>
        <v>7753.75</v>
      </c>
      <c r="BF46" s="550">
        <f t="shared" ref="BF46" si="49">SUM(BF44:BF45)</f>
        <v>83083</v>
      </c>
      <c r="BG46" s="559">
        <f t="shared" si="23"/>
        <v>7450.75</v>
      </c>
      <c r="BH46" s="560">
        <f t="shared" si="43"/>
        <v>7450.75</v>
      </c>
      <c r="BI46" s="560">
        <f t="shared" si="43"/>
        <v>7450.75</v>
      </c>
      <c r="BJ46" s="560">
        <f t="shared" si="43"/>
        <v>7450.75</v>
      </c>
      <c r="BK46" s="560">
        <f t="shared" si="43"/>
        <v>7450.75</v>
      </c>
      <c r="BL46" s="560">
        <f t="shared" si="43"/>
        <v>7450.75</v>
      </c>
      <c r="BM46" s="560">
        <f t="shared" si="43"/>
        <v>7450.75</v>
      </c>
      <c r="BN46" s="560">
        <f t="shared" si="43"/>
        <v>7450.75</v>
      </c>
      <c r="BO46" s="560">
        <f t="shared" si="43"/>
        <v>7450.75</v>
      </c>
      <c r="BP46" s="560">
        <f t="shared" si="43"/>
        <v>7450.75</v>
      </c>
      <c r="BQ46" s="560">
        <f t="shared" si="43"/>
        <v>7450.75</v>
      </c>
      <c r="BR46" s="560">
        <f t="shared" si="43"/>
        <v>7450.75</v>
      </c>
      <c r="BS46" s="550">
        <v>89409</v>
      </c>
    </row>
    <row r="47" spans="1:71" s="512" customFormat="1" ht="16.8" thickBot="1">
      <c r="A47" s="561" t="s">
        <v>152</v>
      </c>
      <c r="B47" s="538"/>
      <c r="C47" s="539"/>
      <c r="D47" s="562">
        <v>2738421.3199999994</v>
      </c>
      <c r="E47" s="562">
        <v>3012119.7399999993</v>
      </c>
      <c r="F47" s="562">
        <v>3195263.36</v>
      </c>
      <c r="G47" s="562">
        <v>3096996.9699999997</v>
      </c>
      <c r="H47" s="562">
        <v>3104629.8800000004</v>
      </c>
      <c r="I47" s="562">
        <v>3264203.3900000006</v>
      </c>
      <c r="J47" s="562">
        <v>3130960.77</v>
      </c>
      <c r="K47" s="562">
        <v>3136293.98</v>
      </c>
      <c r="L47" s="562">
        <v>7008479.7700000023</v>
      </c>
      <c r="M47" s="562">
        <v>3166577.5100000002</v>
      </c>
      <c r="N47" s="562">
        <v>4521472.1099999994</v>
      </c>
      <c r="O47" s="562">
        <v>4556751.4999999981</v>
      </c>
      <c r="P47" s="562">
        <v>1571547.700000003</v>
      </c>
      <c r="Q47" s="563">
        <v>45503718</v>
      </c>
      <c r="R47" s="562">
        <v>3827123.8400000003</v>
      </c>
      <c r="S47" s="562">
        <v>3699961</v>
      </c>
      <c r="T47" s="562">
        <v>3301283</v>
      </c>
      <c r="U47" s="562">
        <v>3913263</v>
      </c>
      <c r="V47" s="562">
        <v>3943826</v>
      </c>
      <c r="W47" s="562">
        <v>6957616</v>
      </c>
      <c r="X47" s="562">
        <v>4583645</v>
      </c>
      <c r="Y47" s="562">
        <v>4969046</v>
      </c>
      <c r="Z47" s="562">
        <v>3778234.850000001</v>
      </c>
      <c r="AA47" s="562">
        <v>4983541</v>
      </c>
      <c r="AB47" s="562">
        <v>4466509.9600000037</v>
      </c>
      <c r="AC47" s="562">
        <v>4532868</v>
      </c>
      <c r="AD47" s="562">
        <v>1324422.7179399962</v>
      </c>
      <c r="AE47" s="563">
        <f t="shared" ref="AE47:AW47" si="50">AE28+AE43+AE46</f>
        <v>54249116</v>
      </c>
      <c r="AF47" s="562">
        <f t="shared" si="50"/>
        <v>3719615.0100000007</v>
      </c>
      <c r="AG47" s="562">
        <f t="shared" si="50"/>
        <v>3771418.79</v>
      </c>
      <c r="AH47" s="562">
        <f t="shared" si="50"/>
        <v>3726769.92</v>
      </c>
      <c r="AI47" s="562">
        <f t="shared" si="50"/>
        <v>4027263.25</v>
      </c>
      <c r="AJ47" s="562">
        <f t="shared" si="50"/>
        <v>3675366.68</v>
      </c>
      <c r="AK47" s="562">
        <f t="shared" si="50"/>
        <v>3863576.82</v>
      </c>
      <c r="AL47" s="562">
        <f t="shared" si="50"/>
        <v>3739896.9800000014</v>
      </c>
      <c r="AM47" s="562">
        <f t="shared" si="50"/>
        <v>3805918.3099999991</v>
      </c>
      <c r="AN47" s="562">
        <f t="shared" si="50"/>
        <v>9138253.8800000027</v>
      </c>
      <c r="AO47" s="562">
        <f t="shared" si="50"/>
        <v>5119634</v>
      </c>
      <c r="AP47" s="562">
        <f>AP28+AP43+AP46</f>
        <v>4086905.9699999969</v>
      </c>
      <c r="AQ47" s="562">
        <f>AQ28+AQ43+AQ46</f>
        <v>3892954.6899999995</v>
      </c>
      <c r="AR47" s="562">
        <f t="shared" si="20"/>
        <v>4482234.700000003</v>
      </c>
      <c r="AS47" s="563">
        <f t="shared" si="50"/>
        <v>57049809</v>
      </c>
      <c r="AT47" s="562">
        <f t="shared" si="50"/>
        <v>3513769</v>
      </c>
      <c r="AU47" s="562">
        <f t="shared" si="50"/>
        <v>3824955.9</v>
      </c>
      <c r="AV47" s="562">
        <f t="shared" si="50"/>
        <v>3958986</v>
      </c>
      <c r="AW47" s="562">
        <f t="shared" si="50"/>
        <v>3969109</v>
      </c>
      <c r="AX47" s="562">
        <f t="shared" si="21"/>
        <v>5728438.1375000002</v>
      </c>
      <c r="AY47" s="562">
        <f t="shared" si="42"/>
        <v>5728438.1375000002</v>
      </c>
      <c r="AZ47" s="562">
        <f t="shared" si="42"/>
        <v>5728438.1375000002</v>
      </c>
      <c r="BA47" s="562">
        <f t="shared" si="42"/>
        <v>5728438.1375000002</v>
      </c>
      <c r="BB47" s="562">
        <f t="shared" si="42"/>
        <v>5728438.1375000002</v>
      </c>
      <c r="BC47" s="562">
        <f t="shared" si="42"/>
        <v>5728438.1375000002</v>
      </c>
      <c r="BD47" s="562">
        <f t="shared" si="42"/>
        <v>5728438.1375000002</v>
      </c>
      <c r="BE47" s="562">
        <f t="shared" si="42"/>
        <v>5728438.1375000002</v>
      </c>
      <c r="BF47" s="563">
        <f t="shared" ref="BF47" si="51">BF28+BF43+BF46</f>
        <v>61094325</v>
      </c>
      <c r="BG47" s="562">
        <f t="shared" si="23"/>
        <v>4677216.666666667</v>
      </c>
      <c r="BH47" s="562">
        <f t="shared" si="43"/>
        <v>4677216.666666667</v>
      </c>
      <c r="BI47" s="562">
        <f t="shared" si="43"/>
        <v>4677216.666666667</v>
      </c>
      <c r="BJ47" s="562">
        <f t="shared" si="43"/>
        <v>4677216.666666667</v>
      </c>
      <c r="BK47" s="562">
        <f t="shared" si="43"/>
        <v>4677216.666666667</v>
      </c>
      <c r="BL47" s="562">
        <f t="shared" si="43"/>
        <v>4677216.666666667</v>
      </c>
      <c r="BM47" s="562">
        <f t="shared" si="43"/>
        <v>4677216.666666667</v>
      </c>
      <c r="BN47" s="562">
        <f t="shared" si="43"/>
        <v>4677216.666666667</v>
      </c>
      <c r="BO47" s="562">
        <f t="shared" si="43"/>
        <v>4677216.666666667</v>
      </c>
      <c r="BP47" s="562">
        <f t="shared" si="43"/>
        <v>4677216.666666667</v>
      </c>
      <c r="BQ47" s="562">
        <f t="shared" si="43"/>
        <v>4677216.666666667</v>
      </c>
      <c r="BR47" s="562">
        <f t="shared" si="43"/>
        <v>4677216.666666667</v>
      </c>
      <c r="BS47" s="563">
        <v>56126600</v>
      </c>
    </row>
    <row r="48" spans="1:71" ht="19.95" customHeight="1">
      <c r="C48" s="527"/>
      <c r="D48" s="564"/>
      <c r="E48" s="565"/>
      <c r="F48" s="565"/>
      <c r="G48" s="565"/>
      <c r="H48" s="565"/>
      <c r="I48" s="565"/>
      <c r="J48" s="565"/>
      <c r="K48" s="565"/>
      <c r="L48" s="565"/>
      <c r="M48" s="565"/>
      <c r="N48" s="565"/>
      <c r="O48" s="565"/>
      <c r="P48" s="565"/>
      <c r="Q48" s="566"/>
      <c r="R48" s="564"/>
      <c r="S48" s="565"/>
      <c r="T48" s="565"/>
      <c r="U48" s="565"/>
      <c r="V48" s="565"/>
      <c r="W48" s="565"/>
      <c r="X48" s="565"/>
      <c r="Y48" s="565"/>
      <c r="Z48" s="565"/>
      <c r="AA48" s="565"/>
      <c r="AB48" s="565"/>
      <c r="AC48" s="565"/>
      <c r="AD48" s="565"/>
      <c r="AE48" s="566"/>
      <c r="AF48" s="564"/>
      <c r="AG48" s="565"/>
      <c r="AH48" s="565"/>
      <c r="AI48" s="565"/>
      <c r="AJ48" s="565"/>
      <c r="AK48" s="565"/>
      <c r="AL48" s="565"/>
      <c r="AM48" s="565"/>
      <c r="AN48" s="565"/>
      <c r="AO48" s="565"/>
      <c r="AP48" s="565"/>
      <c r="AQ48" s="565"/>
      <c r="AR48" s="565"/>
      <c r="AS48" s="566"/>
      <c r="AT48" s="564"/>
      <c r="AU48" s="565"/>
      <c r="AV48" s="565"/>
      <c r="AW48" s="565"/>
      <c r="AX48" s="565"/>
      <c r="AY48" s="565"/>
      <c r="AZ48" s="565"/>
      <c r="BA48" s="565"/>
      <c r="BB48" s="565"/>
      <c r="BC48" s="565"/>
      <c r="BD48" s="565"/>
      <c r="BE48" s="565"/>
      <c r="BF48" s="566"/>
      <c r="BG48" s="564"/>
      <c r="BH48" s="565"/>
      <c r="BI48" s="565"/>
      <c r="BJ48" s="565"/>
      <c r="BK48" s="565"/>
      <c r="BL48" s="565"/>
      <c r="BM48" s="565"/>
      <c r="BN48" s="565"/>
      <c r="BO48" s="565"/>
      <c r="BP48" s="565"/>
      <c r="BQ48" s="565"/>
      <c r="BR48" s="565"/>
      <c r="BS48" s="566"/>
    </row>
    <row r="49" spans="3:71" s="567" customFormat="1">
      <c r="C49" s="559" t="s">
        <v>346</v>
      </c>
      <c r="D49" s="559">
        <v>691.7</v>
      </c>
      <c r="E49" s="560">
        <v>699.8</v>
      </c>
      <c r="F49" s="560">
        <v>704.6</v>
      </c>
      <c r="G49" s="560">
        <v>708.3</v>
      </c>
      <c r="H49" s="560">
        <v>714.80000000000007</v>
      </c>
      <c r="I49" s="560">
        <v>713.09999999999991</v>
      </c>
      <c r="J49" s="560">
        <v>706.30000000000007</v>
      </c>
      <c r="K49" s="560">
        <v>702.79999999999984</v>
      </c>
      <c r="L49" s="560">
        <v>711</v>
      </c>
      <c r="M49" s="560">
        <v>717.2</v>
      </c>
      <c r="N49" s="560">
        <v>722.5</v>
      </c>
      <c r="O49" s="560">
        <v>722.6</v>
      </c>
      <c r="P49" s="560"/>
      <c r="Q49" s="550">
        <v>709.55833333333328</v>
      </c>
      <c r="R49" s="559">
        <v>722</v>
      </c>
      <c r="S49" s="560">
        <v>734.6</v>
      </c>
      <c r="T49" s="560">
        <v>751.9</v>
      </c>
      <c r="U49" s="560">
        <v>758.7</v>
      </c>
      <c r="V49" s="560">
        <v>758.4</v>
      </c>
      <c r="W49" s="560">
        <v>756.8</v>
      </c>
      <c r="X49" s="560">
        <v>763.6</v>
      </c>
      <c r="Y49" s="560">
        <v>763.9</v>
      </c>
      <c r="Z49" s="560">
        <v>763.9</v>
      </c>
      <c r="AA49" s="560">
        <v>774.7</v>
      </c>
      <c r="AB49" s="560">
        <v>779.9</v>
      </c>
      <c r="AC49" s="560">
        <v>783.7</v>
      </c>
      <c r="AD49" s="560"/>
      <c r="AE49" s="550">
        <v>759.3416666666667</v>
      </c>
      <c r="AF49" s="559">
        <v>781.6</v>
      </c>
      <c r="AG49" s="560">
        <v>775.6</v>
      </c>
      <c r="AH49" s="560">
        <v>779.7</v>
      </c>
      <c r="AI49" s="560">
        <v>778</v>
      </c>
      <c r="AJ49" s="560">
        <v>775.1</v>
      </c>
      <c r="AK49" s="560">
        <v>767.9</v>
      </c>
      <c r="AL49" s="560">
        <v>775.9</v>
      </c>
      <c r="AM49" s="560">
        <v>780.7</v>
      </c>
      <c r="AN49" s="560">
        <v>776.5</v>
      </c>
      <c r="AO49" s="560">
        <v>770.5</v>
      </c>
      <c r="AP49" s="560">
        <v>770.5</v>
      </c>
      <c r="AQ49" s="560">
        <v>761.8</v>
      </c>
      <c r="AR49" s="560"/>
      <c r="AS49" s="550">
        <f>AVERAGE(AF49:AP49)</f>
        <v>775.63636363636363</v>
      </c>
      <c r="AT49" s="559">
        <v>746.8</v>
      </c>
      <c r="AU49" s="560">
        <v>737</v>
      </c>
      <c r="AV49" s="560">
        <v>739.9</v>
      </c>
      <c r="AW49" s="560">
        <v>748</v>
      </c>
      <c r="AX49" s="560">
        <v>802.8</v>
      </c>
      <c r="AY49" s="560">
        <v>802.8</v>
      </c>
      <c r="AZ49" s="560">
        <v>802.8</v>
      </c>
      <c r="BA49" s="560">
        <v>802.8</v>
      </c>
      <c r="BB49" s="560">
        <v>802.8</v>
      </c>
      <c r="BC49" s="560">
        <v>802.8</v>
      </c>
      <c r="BD49" s="560">
        <v>802.8</v>
      </c>
      <c r="BE49" s="560">
        <v>802.8</v>
      </c>
      <c r="BF49" s="550">
        <f>AVERAGE(AT49:BD49)</f>
        <v>781.02727272727282</v>
      </c>
      <c r="BG49" s="559">
        <v>802.8</v>
      </c>
      <c r="BH49" s="560">
        <v>802.8</v>
      </c>
      <c r="BI49" s="560">
        <v>802.8</v>
      </c>
      <c r="BJ49" s="560">
        <v>802.8</v>
      </c>
      <c r="BK49" s="560">
        <v>802.8</v>
      </c>
      <c r="BL49" s="560">
        <v>802.8</v>
      </c>
      <c r="BM49" s="560">
        <v>802.8</v>
      </c>
      <c r="BN49" s="560">
        <v>802.8</v>
      </c>
      <c r="BO49" s="560">
        <v>802.8</v>
      </c>
      <c r="BP49" s="560">
        <v>802.8</v>
      </c>
      <c r="BQ49" s="560">
        <v>802.8</v>
      </c>
      <c r="BR49" s="560">
        <v>802.8</v>
      </c>
      <c r="BS49" s="550">
        <f>AVERAGE(BG49:BQ49)</f>
        <v>802.80000000000007</v>
      </c>
    </row>
    <row r="50" spans="3:71" s="567" customFormat="1">
      <c r="C50" s="559"/>
      <c r="D50" s="559"/>
      <c r="E50" s="560"/>
      <c r="F50" s="560"/>
      <c r="G50" s="560"/>
      <c r="H50" s="560"/>
      <c r="I50" s="560"/>
      <c r="J50" s="560"/>
      <c r="K50" s="560"/>
      <c r="L50" s="560"/>
      <c r="M50" s="560"/>
      <c r="N50" s="560"/>
      <c r="O50" s="560"/>
      <c r="P50" s="560"/>
      <c r="Q50" s="550"/>
      <c r="R50" s="559"/>
      <c r="S50" s="560"/>
      <c r="T50" s="560"/>
      <c r="U50" s="560"/>
      <c r="V50" s="560"/>
      <c r="W50" s="560"/>
      <c r="X50" s="560"/>
      <c r="Y50" s="560"/>
      <c r="Z50" s="560"/>
      <c r="AA50" s="560"/>
      <c r="AB50" s="560"/>
      <c r="AC50" s="560"/>
      <c r="AD50" s="560"/>
      <c r="AE50" s="550"/>
      <c r="AF50" s="559"/>
      <c r="AG50" s="560"/>
      <c r="AH50" s="560"/>
      <c r="AI50" s="560"/>
      <c r="AJ50" s="560"/>
      <c r="AK50" s="560"/>
      <c r="AL50" s="560"/>
      <c r="AM50" s="560"/>
      <c r="AN50" s="560"/>
      <c r="AO50" s="560"/>
      <c r="AP50" s="560"/>
      <c r="AQ50" s="560"/>
      <c r="AR50" s="560"/>
      <c r="AS50" s="550"/>
      <c r="AT50" s="559"/>
      <c r="AU50" s="560"/>
      <c r="AV50" s="560"/>
      <c r="AW50" s="560"/>
      <c r="AX50" s="560"/>
      <c r="AY50" s="560"/>
      <c r="AZ50" s="560"/>
      <c r="BA50" s="560"/>
      <c r="BB50" s="560"/>
      <c r="BC50" s="560"/>
      <c r="BD50" s="560"/>
      <c r="BE50" s="560"/>
      <c r="BF50" s="550"/>
      <c r="BG50" s="559"/>
      <c r="BH50" s="560"/>
      <c r="BI50" s="560"/>
      <c r="BJ50" s="560"/>
      <c r="BK50" s="560"/>
      <c r="BL50" s="560"/>
      <c r="BM50" s="560"/>
      <c r="BN50" s="560"/>
      <c r="BO50" s="560"/>
      <c r="BP50" s="560"/>
      <c r="BQ50" s="560"/>
      <c r="BR50" s="560"/>
      <c r="BS50" s="550"/>
    </row>
    <row r="51" spans="3:71" s="571" customFormat="1">
      <c r="C51" s="568" t="s">
        <v>347</v>
      </c>
      <c r="D51" s="569">
        <v>3738.0267601561368</v>
      </c>
      <c r="E51" s="569">
        <v>3796.9109602743642</v>
      </c>
      <c r="F51" s="569">
        <v>3789.5826852114674</v>
      </c>
      <c r="G51" s="569">
        <v>3788.3746293943254</v>
      </c>
      <c r="H51" s="569">
        <v>3773.7136261891428</v>
      </c>
      <c r="I51" s="569">
        <v>3782.2476651241068</v>
      </c>
      <c r="J51" s="569">
        <v>3819.5659634716117</v>
      </c>
      <c r="K51" s="569">
        <v>3832.1382612407524</v>
      </c>
      <c r="L51" s="569">
        <v>3909.7341350210982</v>
      </c>
      <c r="M51" s="569">
        <v>3834.7761154489681</v>
      </c>
      <c r="N51" s="569">
        <v>3837.6712941176474</v>
      </c>
      <c r="O51" s="569">
        <v>3843.4622336008856</v>
      </c>
      <c r="P51" s="569"/>
      <c r="Q51" s="570">
        <v>56246.042256333167</v>
      </c>
      <c r="R51" s="569">
        <v>4395.185332409972</v>
      </c>
      <c r="S51" s="569">
        <v>4482.2978491696158</v>
      </c>
      <c r="T51" s="569">
        <v>4479.1435031254159</v>
      </c>
      <c r="U51" s="569">
        <v>4452.5161460392774</v>
      </c>
      <c r="V51" s="569">
        <v>4482.9364451476795</v>
      </c>
      <c r="W51" s="569">
        <v>4506.2420718816074</v>
      </c>
      <c r="X51" s="569">
        <v>4491.4012572027241</v>
      </c>
      <c r="Y51" s="569">
        <v>4978.0782824977096</v>
      </c>
      <c r="Z51" s="569">
        <v>4500.675101404634</v>
      </c>
      <c r="AA51" s="569">
        <v>4476.3198657544854</v>
      </c>
      <c r="AB51" s="569">
        <v>4518.0227736248235</v>
      </c>
      <c r="AC51" s="569">
        <v>4761.8591297690436</v>
      </c>
      <c r="AD51" s="569"/>
      <c r="AE51" s="570">
        <v>57205.013114430258</v>
      </c>
      <c r="AF51" s="569">
        <f t="shared" ref="AF51:BS51" si="52">(AF8+AF9)/AF49</f>
        <v>4462.4385875127946</v>
      </c>
      <c r="AG51" s="569">
        <f t="shared" si="52"/>
        <v>4506.0379061371841</v>
      </c>
      <c r="AH51" s="569">
        <f t="shared" si="52"/>
        <v>4498.3185840707965</v>
      </c>
      <c r="AI51" s="569">
        <f t="shared" si="52"/>
        <v>4901.8457583547561</v>
      </c>
      <c r="AJ51" s="569">
        <f t="shared" si="52"/>
        <v>4504.4239452973807</v>
      </c>
      <c r="AK51" s="569">
        <f t="shared" si="52"/>
        <v>4513.1032686547733</v>
      </c>
      <c r="AL51" s="569">
        <f t="shared" si="52"/>
        <v>4493.4605047635005</v>
      </c>
      <c r="AM51" s="569">
        <f t="shared" si="52"/>
        <v>4507.4420391955937</v>
      </c>
      <c r="AN51" s="569">
        <f t="shared" si="52"/>
        <v>4541.2066967160335</v>
      </c>
      <c r="AO51" s="569">
        <f t="shared" si="52"/>
        <v>5505.2991563919531</v>
      </c>
      <c r="AP51" s="569">
        <f t="shared" si="52"/>
        <v>4753.4763604802129</v>
      </c>
      <c r="AQ51" s="569">
        <f t="shared" si="52"/>
        <v>4714.7330814229435</v>
      </c>
      <c r="AR51" s="569"/>
      <c r="AS51" s="550">
        <f t="shared" si="52"/>
        <v>54323.485818096575</v>
      </c>
      <c r="AT51" s="569">
        <f t="shared" si="52"/>
        <v>4530.9199250133906</v>
      </c>
      <c r="AU51" s="569">
        <f t="shared" si="52"/>
        <v>4601.8846675712348</v>
      </c>
      <c r="AV51" s="569">
        <f t="shared" si="52"/>
        <v>4886.9725638599812</v>
      </c>
      <c r="AW51" s="569">
        <f t="shared" si="52"/>
        <v>4607.2566844919784</v>
      </c>
      <c r="AX51" s="569">
        <f t="shared" si="52"/>
        <v>4602.3888266068761</v>
      </c>
      <c r="AY51" s="569">
        <f t="shared" si="52"/>
        <v>4602.3888266068761</v>
      </c>
      <c r="AZ51" s="569">
        <f t="shared" si="52"/>
        <v>4602.3888266068761</v>
      </c>
      <c r="BA51" s="569">
        <f t="shared" si="52"/>
        <v>4602.3888266068761</v>
      </c>
      <c r="BB51" s="569">
        <f t="shared" si="52"/>
        <v>4602.3888266068761</v>
      </c>
      <c r="BC51" s="569">
        <f t="shared" si="52"/>
        <v>4602.3888266068761</v>
      </c>
      <c r="BD51" s="569">
        <f t="shared" si="52"/>
        <v>4602.3888266068761</v>
      </c>
      <c r="BE51" s="569">
        <f t="shared" si="52"/>
        <v>4602.3888266068761</v>
      </c>
      <c r="BF51" s="550">
        <f t="shared" si="52"/>
        <v>55562.414419238063</v>
      </c>
      <c r="BG51" s="569">
        <f t="shared" si="52"/>
        <v>4541.8647234678629</v>
      </c>
      <c r="BH51" s="569">
        <f t="shared" si="52"/>
        <v>4541.8647234678629</v>
      </c>
      <c r="BI51" s="569">
        <f t="shared" si="52"/>
        <v>4541.8647234678629</v>
      </c>
      <c r="BJ51" s="569">
        <f t="shared" si="52"/>
        <v>4541.8647234678629</v>
      </c>
      <c r="BK51" s="569">
        <f t="shared" si="52"/>
        <v>4541.8647234678629</v>
      </c>
      <c r="BL51" s="569">
        <f t="shared" si="52"/>
        <v>4541.8647234678629</v>
      </c>
      <c r="BM51" s="569">
        <f t="shared" si="52"/>
        <v>4541.8647234678629</v>
      </c>
      <c r="BN51" s="569">
        <f t="shared" si="52"/>
        <v>4541.8647234678629</v>
      </c>
      <c r="BO51" s="569">
        <f t="shared" si="52"/>
        <v>4541.8647234678629</v>
      </c>
      <c r="BP51" s="569">
        <f t="shared" si="52"/>
        <v>4541.8647234678629</v>
      </c>
      <c r="BQ51" s="569">
        <f t="shared" si="52"/>
        <v>4541.8647234678629</v>
      </c>
      <c r="BR51" s="569">
        <f t="shared" si="52"/>
        <v>4541.8647234678629</v>
      </c>
      <c r="BS51" s="550">
        <f t="shared" si="52"/>
        <v>54502.376681614347</v>
      </c>
    </row>
    <row r="52" spans="3:71" s="571" customFormat="1" ht="16.8" thickBot="1">
      <c r="C52" s="572" t="s">
        <v>348</v>
      </c>
      <c r="D52" s="573">
        <v>3958.9725603585366</v>
      </c>
      <c r="E52" s="573">
        <v>4303.1705487282079</v>
      </c>
      <c r="F52" s="573">
        <v>4534.8614249219409</v>
      </c>
      <c r="G52" s="573">
        <v>4371.9595933926312</v>
      </c>
      <c r="H52" s="573">
        <v>4343.3241606043639</v>
      </c>
      <c r="I52" s="573">
        <v>4577.4371757116824</v>
      </c>
      <c r="J52" s="573">
        <v>4432.3592524423038</v>
      </c>
      <c r="K52" s="573">
        <v>4462.1576124075136</v>
      </c>
      <c r="L52" s="573">
        <v>9854.2350773558355</v>
      </c>
      <c r="M52" s="573">
        <v>4413.3065950920254</v>
      </c>
      <c r="N52" s="573">
        <v>6257.9738408304493</v>
      </c>
      <c r="O52" s="573">
        <v>6304.0626210905057</v>
      </c>
      <c r="P52" s="573"/>
      <c r="Q52" s="574">
        <v>64123.202931400992</v>
      </c>
      <c r="R52" s="573">
        <v>5300.7254986149583</v>
      </c>
      <c r="S52" s="573">
        <v>5036.7016063163628</v>
      </c>
      <c r="T52" s="573">
        <v>4390.5878441282084</v>
      </c>
      <c r="U52" s="573">
        <v>5157.8529062870693</v>
      </c>
      <c r="V52" s="573">
        <v>5200.1925105485234</v>
      </c>
      <c r="W52" s="573">
        <v>9193.4672304439755</v>
      </c>
      <c r="X52" s="573">
        <v>6002.678103719225</v>
      </c>
      <c r="Y52" s="573">
        <v>6504.8383296242964</v>
      </c>
      <c r="Z52" s="573">
        <v>4945.9806792171748</v>
      </c>
      <c r="AA52" s="573">
        <v>6432.8656254033813</v>
      </c>
      <c r="AB52" s="573">
        <v>5727.028889865368</v>
      </c>
      <c r="AC52" s="573">
        <v>5783.9326272808466</v>
      </c>
      <c r="AD52" s="573"/>
      <c r="AE52" s="574">
        <v>71561.298932189064</v>
      </c>
      <c r="AF52" s="573">
        <f t="shared" ref="AF52:BS52" si="53">(AF21-AF18-AF19-AF20)/AF49</f>
        <v>4758.9751791197541</v>
      </c>
      <c r="AG52" s="573">
        <f t="shared" si="53"/>
        <v>4862.5825167612165</v>
      </c>
      <c r="AH52" s="573">
        <f t="shared" si="53"/>
        <v>4779.748621264589</v>
      </c>
      <c r="AI52" s="573">
        <f t="shared" si="53"/>
        <v>5176.4305912596401</v>
      </c>
      <c r="AJ52" s="573">
        <f t="shared" si="53"/>
        <v>4741.7971874596824</v>
      </c>
      <c r="AK52" s="573">
        <f t="shared" si="53"/>
        <v>5031.3543430134132</v>
      </c>
      <c r="AL52" s="573">
        <f t="shared" si="53"/>
        <v>4820.0764750766848</v>
      </c>
      <c r="AM52" s="573">
        <f t="shared" si="53"/>
        <v>4875.0070449596515</v>
      </c>
      <c r="AN52" s="573">
        <f t="shared" si="53"/>
        <v>11768.517707662588</v>
      </c>
      <c r="AO52" s="573">
        <f t="shared" si="53"/>
        <v>6644.5606748864375</v>
      </c>
      <c r="AP52" s="573">
        <f t="shared" si="53"/>
        <v>5304.2257473069494</v>
      </c>
      <c r="AQ52" s="573">
        <f t="shared" si="53"/>
        <v>5110.2062922079267</v>
      </c>
      <c r="AR52" s="573"/>
      <c r="AS52" s="574">
        <f t="shared" si="53"/>
        <v>73544.602437880923</v>
      </c>
      <c r="AT52" s="573">
        <f t="shared" si="53"/>
        <v>4705.1004284949122</v>
      </c>
      <c r="AU52" s="573">
        <f t="shared" si="53"/>
        <v>5189.899592944369</v>
      </c>
      <c r="AV52" s="573">
        <f t="shared" si="53"/>
        <v>5350.7041492093531</v>
      </c>
      <c r="AW52" s="573">
        <f t="shared" si="53"/>
        <v>5306.295454545455</v>
      </c>
      <c r="AX52" s="573">
        <f t="shared" si="53"/>
        <v>7135.5731502242161</v>
      </c>
      <c r="AY52" s="573">
        <f t="shared" si="53"/>
        <v>7135.5731502242161</v>
      </c>
      <c r="AZ52" s="573">
        <f t="shared" si="53"/>
        <v>7135.5731502242161</v>
      </c>
      <c r="BA52" s="573">
        <f t="shared" si="53"/>
        <v>7135.5731502242161</v>
      </c>
      <c r="BB52" s="573">
        <f t="shared" si="53"/>
        <v>7135.5731502242161</v>
      </c>
      <c r="BC52" s="573">
        <f t="shared" si="53"/>
        <v>7135.5731502242161</v>
      </c>
      <c r="BD52" s="573">
        <f t="shared" si="53"/>
        <v>7135.5731502242161</v>
      </c>
      <c r="BE52" s="573">
        <f t="shared" si="53"/>
        <v>7135.5731502242161</v>
      </c>
      <c r="BF52" s="574">
        <f t="shared" si="53"/>
        <v>78223.036676637988</v>
      </c>
      <c r="BG52" s="573">
        <f t="shared" si="53"/>
        <v>5826.1293805015785</v>
      </c>
      <c r="BH52" s="573">
        <f t="shared" si="53"/>
        <v>5826.1293805015785</v>
      </c>
      <c r="BI52" s="573">
        <f t="shared" si="53"/>
        <v>5826.1293805015785</v>
      </c>
      <c r="BJ52" s="573">
        <f t="shared" si="53"/>
        <v>5826.1293805015785</v>
      </c>
      <c r="BK52" s="573">
        <f t="shared" si="53"/>
        <v>5826.1293805015785</v>
      </c>
      <c r="BL52" s="573">
        <f t="shared" si="53"/>
        <v>5826.1293805015785</v>
      </c>
      <c r="BM52" s="573">
        <f t="shared" si="53"/>
        <v>5826.1293805015785</v>
      </c>
      <c r="BN52" s="573">
        <f t="shared" si="53"/>
        <v>5826.1293805015785</v>
      </c>
      <c r="BO52" s="573">
        <f t="shared" si="53"/>
        <v>5826.1293805015785</v>
      </c>
      <c r="BP52" s="573">
        <f t="shared" si="53"/>
        <v>5826.1293805015785</v>
      </c>
      <c r="BQ52" s="573">
        <f t="shared" si="53"/>
        <v>5826.1293805015785</v>
      </c>
      <c r="BR52" s="573">
        <f t="shared" si="53"/>
        <v>5826.1293805015785</v>
      </c>
      <c r="BS52" s="574">
        <f t="shared" si="53"/>
        <v>69913.552566018931</v>
      </c>
    </row>
    <row r="53" spans="3:71">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row>
    <row r="54" spans="3:71">
      <c r="D54" s="385"/>
      <c r="E54" s="385"/>
      <c r="F54" s="385"/>
      <c r="G54" s="385"/>
      <c r="H54" s="385"/>
      <c r="I54" s="385"/>
      <c r="J54" s="385"/>
      <c r="K54" s="385"/>
      <c r="L54" s="385"/>
      <c r="M54" s="385"/>
      <c r="N54" s="385"/>
      <c r="O54" s="385"/>
      <c r="P54" s="385"/>
      <c r="Q54" s="385"/>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5"/>
      <c r="AU54" s="385"/>
      <c r="AV54" s="385"/>
      <c r="AW54" s="385"/>
      <c r="AX54" s="385"/>
      <c r="AY54" s="385"/>
      <c r="AZ54" s="385"/>
      <c r="BA54" s="385"/>
      <c r="BB54" s="385"/>
      <c r="BC54" s="385"/>
      <c r="BD54" s="385"/>
      <c r="BE54" s="385"/>
      <c r="BF54" s="385"/>
      <c r="BG54" s="385"/>
      <c r="BH54" s="385"/>
      <c r="BI54" s="385"/>
      <c r="BJ54" s="385"/>
      <c r="BK54" s="385"/>
      <c r="BL54" s="385"/>
      <c r="BM54" s="385"/>
      <c r="BN54" s="385"/>
      <c r="BO54" s="385"/>
      <c r="BP54" s="385"/>
      <c r="BQ54" s="385"/>
      <c r="BR54" s="385"/>
      <c r="BS54" s="385"/>
    </row>
    <row r="55" spans="3:71">
      <c r="D55" s="580">
        <f t="shared" ref="D55:BO55" si="54">D47-D21</f>
        <v>0</v>
      </c>
      <c r="E55" s="580">
        <f t="shared" si="54"/>
        <v>0</v>
      </c>
      <c r="F55" s="580">
        <f t="shared" si="54"/>
        <v>0</v>
      </c>
      <c r="G55" s="580">
        <f t="shared" si="54"/>
        <v>0</v>
      </c>
      <c r="H55" s="580">
        <f t="shared" si="54"/>
        <v>0</v>
      </c>
      <c r="I55" s="580">
        <f t="shared" si="54"/>
        <v>0</v>
      </c>
      <c r="J55" s="580">
        <f t="shared" si="54"/>
        <v>0</v>
      </c>
      <c r="K55" s="580">
        <f t="shared" si="54"/>
        <v>0</v>
      </c>
      <c r="L55" s="580">
        <f t="shared" si="54"/>
        <v>0</v>
      </c>
      <c r="M55" s="580">
        <f t="shared" si="54"/>
        <v>0</v>
      </c>
      <c r="N55" s="580">
        <f t="shared" si="54"/>
        <v>0</v>
      </c>
      <c r="O55" s="580">
        <f t="shared" si="54"/>
        <v>0</v>
      </c>
      <c r="P55" s="580">
        <f t="shared" si="54"/>
        <v>-0.23999999649822712</v>
      </c>
      <c r="Q55" s="580">
        <f t="shared" si="54"/>
        <v>0</v>
      </c>
      <c r="R55" s="580">
        <f t="shared" si="54"/>
        <v>3.0000000726431608E-2</v>
      </c>
      <c r="S55" s="580">
        <f t="shared" si="54"/>
        <v>0</v>
      </c>
      <c r="T55" s="580">
        <f t="shared" si="54"/>
        <v>0</v>
      </c>
      <c r="U55" s="580">
        <f t="shared" si="54"/>
        <v>0</v>
      </c>
      <c r="V55" s="580">
        <f t="shared" si="54"/>
        <v>0</v>
      </c>
      <c r="W55" s="580">
        <f t="shared" si="54"/>
        <v>0</v>
      </c>
      <c r="X55" s="580">
        <f t="shared" si="54"/>
        <v>0</v>
      </c>
      <c r="Y55" s="580">
        <f t="shared" si="54"/>
        <v>0</v>
      </c>
      <c r="Z55" s="580">
        <f t="shared" si="54"/>
        <v>0.20914600137621164</v>
      </c>
      <c r="AA55" s="580">
        <f t="shared" si="54"/>
        <v>0</v>
      </c>
      <c r="AB55" s="580">
        <f t="shared" si="54"/>
        <v>0.12879400327801704</v>
      </c>
      <c r="AC55" s="580">
        <f t="shared" si="54"/>
        <v>0</v>
      </c>
      <c r="AD55" s="580">
        <f t="shared" si="54"/>
        <v>32224</v>
      </c>
      <c r="AE55" s="580">
        <f t="shared" si="54"/>
        <v>0</v>
      </c>
      <c r="AF55" s="580">
        <f t="shared" si="54"/>
        <v>1.0000000707805157E-2</v>
      </c>
      <c r="AG55" s="580">
        <f t="shared" si="54"/>
        <v>-0.2099999999627471</v>
      </c>
      <c r="AH55" s="580">
        <f t="shared" si="54"/>
        <v>-8.0000000074505806E-2</v>
      </c>
      <c r="AI55" s="580">
        <f t="shared" si="54"/>
        <v>0.25</v>
      </c>
      <c r="AJ55" s="580">
        <f t="shared" si="54"/>
        <v>-0.31999999983236194</v>
      </c>
      <c r="AK55" s="580">
        <f t="shared" si="54"/>
        <v>-0.18000000016763806</v>
      </c>
      <c r="AL55" s="580">
        <f t="shared" si="54"/>
        <v>-0.35701199853792787</v>
      </c>
      <c r="AM55" s="580">
        <f t="shared" si="54"/>
        <v>0.30999999912455678</v>
      </c>
      <c r="AN55" s="580">
        <f t="shared" si="54"/>
        <v>-0.11999999731779099</v>
      </c>
      <c r="AO55" s="580">
        <f t="shared" si="54"/>
        <v>0</v>
      </c>
      <c r="AP55" s="580">
        <f t="shared" si="54"/>
        <v>3.1699992716312408E-2</v>
      </c>
      <c r="AQ55" s="580">
        <f t="shared" si="54"/>
        <v>-0.46340399887412786</v>
      </c>
      <c r="AR55" s="580">
        <f t="shared" si="54"/>
        <v>0.128716005012393</v>
      </c>
      <c r="AS55" s="580">
        <f t="shared" si="54"/>
        <v>0</v>
      </c>
      <c r="AT55" s="580">
        <f t="shared" si="54"/>
        <v>0</v>
      </c>
      <c r="AU55" s="580">
        <f t="shared" si="54"/>
        <v>-0.10000000009313226</v>
      </c>
      <c r="AV55" s="580">
        <f t="shared" si="54"/>
        <v>0</v>
      </c>
      <c r="AW55" s="580">
        <f t="shared" si="54"/>
        <v>0</v>
      </c>
      <c r="AX55" s="580">
        <f t="shared" si="54"/>
        <v>1.2500000186264515E-2</v>
      </c>
      <c r="AY55" s="580">
        <f t="shared" si="54"/>
        <v>1.2500000186264515E-2</v>
      </c>
      <c r="AZ55" s="580">
        <f t="shared" si="54"/>
        <v>1.2500000186264515E-2</v>
      </c>
      <c r="BA55" s="580">
        <f t="shared" si="54"/>
        <v>1.2500000186264515E-2</v>
      </c>
      <c r="BB55" s="580">
        <f t="shared" si="54"/>
        <v>1.2500000186264515E-2</v>
      </c>
      <c r="BC55" s="580">
        <f t="shared" si="54"/>
        <v>1.2500000186264515E-2</v>
      </c>
      <c r="BD55" s="580">
        <f t="shared" si="54"/>
        <v>1.2500000186264515E-2</v>
      </c>
      <c r="BE55" s="580">
        <f t="shared" si="54"/>
        <v>1.2500000186264515E-2</v>
      </c>
      <c r="BF55" s="580">
        <f t="shared" si="54"/>
        <v>0</v>
      </c>
      <c r="BG55" s="580">
        <f t="shared" si="54"/>
        <v>0</v>
      </c>
      <c r="BH55" s="580">
        <f t="shared" si="54"/>
        <v>0</v>
      </c>
      <c r="BI55" s="580">
        <f t="shared" si="54"/>
        <v>0</v>
      </c>
      <c r="BJ55" s="580">
        <f t="shared" si="54"/>
        <v>0</v>
      </c>
      <c r="BK55" s="580">
        <f t="shared" si="54"/>
        <v>0</v>
      </c>
      <c r="BL55" s="580">
        <f t="shared" si="54"/>
        <v>0</v>
      </c>
      <c r="BM55" s="580">
        <f t="shared" si="54"/>
        <v>0</v>
      </c>
      <c r="BN55" s="580">
        <f t="shared" si="54"/>
        <v>0</v>
      </c>
      <c r="BO55" s="580">
        <f t="shared" si="54"/>
        <v>0</v>
      </c>
      <c r="BP55" s="580">
        <f t="shared" ref="BP55:BS55" si="55">BP47-BP21</f>
        <v>0</v>
      </c>
      <c r="BQ55" s="580">
        <f t="shared" si="55"/>
        <v>0</v>
      </c>
      <c r="BR55" s="580">
        <f t="shared" si="55"/>
        <v>0</v>
      </c>
      <c r="BS55" s="580">
        <f t="shared" si="55"/>
        <v>0</v>
      </c>
    </row>
    <row r="56" spans="3:71">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5"/>
      <c r="BJ56" s="575"/>
      <c r="BK56" s="575"/>
      <c r="BL56" s="575"/>
      <c r="BM56" s="575"/>
      <c r="BN56" s="575"/>
      <c r="BO56" s="575"/>
      <c r="BP56" s="575"/>
      <c r="BQ56" s="575"/>
      <c r="BR56" s="575"/>
      <c r="BS56" s="575"/>
    </row>
    <row r="57" spans="3:71">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5"/>
      <c r="BJ57" s="575"/>
      <c r="BK57" s="575"/>
      <c r="BL57" s="575"/>
      <c r="BM57" s="575"/>
      <c r="BN57" s="575"/>
      <c r="BO57" s="575"/>
      <c r="BP57" s="575"/>
      <c r="BQ57" s="575"/>
      <c r="BR57" s="575"/>
      <c r="BS57" s="575"/>
    </row>
    <row r="59" spans="3:71">
      <c r="AK59" s="584"/>
      <c r="AY59" s="584"/>
      <c r="BL59" s="58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2"/>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D26" sqref="D26"/>
    </sheetView>
  </sheetViews>
  <sheetFormatPr defaultColWidth="9.109375" defaultRowHeight="18" customHeight="1"/>
  <cols>
    <col min="1" max="1" width="12.109375" style="67" customWidth="1"/>
    <col min="2" max="2" width="50.88671875" style="67" customWidth="1"/>
    <col min="3" max="3" width="18.109375" style="78" customWidth="1"/>
    <col min="4" max="4" width="20" style="78" customWidth="1"/>
    <col min="5" max="5" width="18.5546875" style="78" customWidth="1"/>
    <col min="6" max="6" width="19.88671875" style="79" customWidth="1"/>
    <col min="7" max="7" width="22.77734375" style="79" customWidth="1"/>
    <col min="8" max="8" width="16.109375" style="79" customWidth="1"/>
    <col min="9" max="9" width="18.109375" style="78" bestFit="1" customWidth="1"/>
    <col min="10" max="10" width="18.6640625" style="78" bestFit="1" customWidth="1"/>
    <col min="11" max="11" width="18.109375" style="78" bestFit="1" customWidth="1"/>
    <col min="12" max="12" width="16.4414062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04" t="s">
        <v>3</v>
      </c>
      <c r="B1" s="604"/>
      <c r="C1" s="604"/>
      <c r="D1" s="604"/>
      <c r="E1" s="604"/>
      <c r="F1" s="604"/>
      <c r="G1" s="604"/>
      <c r="H1" s="604"/>
      <c r="I1" s="604"/>
      <c r="J1" s="604"/>
      <c r="K1" s="604"/>
      <c r="L1" s="604"/>
      <c r="M1" s="106"/>
    </row>
    <row r="2" spans="1:14" s="65" customFormat="1" ht="18" customHeight="1">
      <c r="A2" s="605" t="s">
        <v>495</v>
      </c>
      <c r="B2" s="605"/>
      <c r="C2" s="605"/>
      <c r="D2" s="605"/>
      <c r="E2" s="605"/>
      <c r="F2" s="605"/>
      <c r="G2" s="605"/>
      <c r="H2" s="605"/>
      <c r="I2" s="605"/>
      <c r="J2" s="605"/>
      <c r="K2" s="605"/>
      <c r="L2" s="605"/>
      <c r="M2" s="107"/>
    </row>
    <row r="3" spans="1:14" s="65" customFormat="1" ht="18" customHeight="1">
      <c r="A3" s="606" t="s">
        <v>604</v>
      </c>
      <c r="B3" s="606"/>
      <c r="C3" s="606"/>
      <c r="D3" s="606"/>
      <c r="E3" s="606"/>
      <c r="F3" s="606"/>
      <c r="G3" s="606"/>
      <c r="H3" s="606"/>
      <c r="I3" s="606"/>
      <c r="J3" s="606"/>
      <c r="K3" s="606"/>
      <c r="L3" s="606"/>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30040791</v>
      </c>
      <c r="D5" s="114">
        <f>E5+G5</f>
        <v>-69990</v>
      </c>
      <c r="E5" s="114">
        <v>-69990</v>
      </c>
      <c r="F5" s="313" t="s">
        <v>196</v>
      </c>
      <c r="G5" s="114">
        <v>0</v>
      </c>
      <c r="H5" s="313"/>
      <c r="I5" s="114">
        <v>29970801</v>
      </c>
      <c r="J5" s="114">
        <v>8741929.9799999986</v>
      </c>
      <c r="K5" s="114">
        <v>29970801</v>
      </c>
      <c r="L5" s="114">
        <f>I5-K5</f>
        <v>0</v>
      </c>
      <c r="M5" s="117">
        <f>I5-C5-D5</f>
        <v>0</v>
      </c>
    </row>
    <row r="6" spans="1:14" s="70" customFormat="1" ht="7.5" customHeight="1">
      <c r="A6" s="112"/>
      <c r="B6" s="113"/>
      <c r="C6" s="114"/>
      <c r="D6" s="114"/>
      <c r="E6" s="114"/>
      <c r="F6" s="116"/>
      <c r="G6" s="116"/>
      <c r="H6" s="116"/>
      <c r="I6" s="114"/>
      <c r="J6" s="114"/>
      <c r="K6" s="114"/>
      <c r="L6" s="114"/>
      <c r="M6" s="117">
        <f t="shared" ref="M6:M56" si="0">I6-C6-D6</f>
        <v>0</v>
      </c>
    </row>
    <row r="7" spans="1:14" s="71" customFormat="1" ht="18" customHeight="1">
      <c r="A7" s="118" t="s">
        <v>221</v>
      </c>
      <c r="B7" s="119"/>
      <c r="C7" s="120">
        <f>C5</f>
        <v>30040791</v>
      </c>
      <c r="D7" s="120">
        <f>D5</f>
        <v>-69990</v>
      </c>
      <c r="E7" s="120">
        <v>-69990</v>
      </c>
      <c r="F7" s="120"/>
      <c r="G7" s="120">
        <f t="shared" ref="G7:L7" si="1">G5</f>
        <v>0</v>
      </c>
      <c r="H7" s="120"/>
      <c r="I7" s="120">
        <f>I5</f>
        <v>29970801</v>
      </c>
      <c r="J7" s="120">
        <f>J5</f>
        <v>8741929.9799999986</v>
      </c>
      <c r="K7" s="120">
        <f t="shared" si="1"/>
        <v>29970801</v>
      </c>
      <c r="L7" s="120">
        <f t="shared" si="1"/>
        <v>0</v>
      </c>
      <c r="M7" s="117">
        <f t="shared" si="0"/>
        <v>0</v>
      </c>
      <c r="N7" s="61"/>
    </row>
    <row r="8" spans="1:14" s="62" customFormat="1" ht="18" customHeight="1">
      <c r="A8" s="122" t="s">
        <v>23</v>
      </c>
      <c r="B8" s="113" t="s">
        <v>8</v>
      </c>
      <c r="C8" s="114">
        <v>838865626</v>
      </c>
      <c r="D8" s="114">
        <f>E8+G8</f>
        <v>-13158937</v>
      </c>
      <c r="E8" s="114">
        <v>-13023944</v>
      </c>
      <c r="F8" s="116" t="s">
        <v>601</v>
      </c>
      <c r="G8" s="114">
        <v>-134993</v>
      </c>
      <c r="H8" s="116" t="s">
        <v>196</v>
      </c>
      <c r="I8" s="114">
        <v>825706689</v>
      </c>
      <c r="J8" s="383">
        <v>239271239.0299978</v>
      </c>
      <c r="K8" s="114">
        <v>825706689</v>
      </c>
      <c r="L8" s="114">
        <f t="shared" ref="L8:L18" si="2">I8-K8</f>
        <v>0</v>
      </c>
      <c r="M8" s="117">
        <f>I8-C8-D8</f>
        <v>0</v>
      </c>
      <c r="N8" s="61"/>
    </row>
    <row r="9" spans="1:14" s="62" customFormat="1" ht="18" customHeight="1">
      <c r="A9" s="122" t="s">
        <v>24</v>
      </c>
      <c r="B9" s="113" t="s">
        <v>9</v>
      </c>
      <c r="C9" s="114">
        <v>76264000</v>
      </c>
      <c r="D9" s="114">
        <f>E9+G9</f>
        <v>2595046</v>
      </c>
      <c r="E9" s="114">
        <v>2072381</v>
      </c>
      <c r="F9" s="116" t="s">
        <v>540</v>
      </c>
      <c r="G9" s="114">
        <v>522665</v>
      </c>
      <c r="H9" s="116" t="s">
        <v>576</v>
      </c>
      <c r="I9" s="114">
        <v>78859046</v>
      </c>
      <c r="J9" s="114">
        <v>18439112.500000022</v>
      </c>
      <c r="K9" s="114">
        <v>78859046</v>
      </c>
      <c r="L9" s="114">
        <f>I9-K9</f>
        <v>0</v>
      </c>
      <c r="M9" s="117">
        <f>I9-C9-D9</f>
        <v>0</v>
      </c>
      <c r="N9" s="61"/>
    </row>
    <row r="10" spans="1:14" s="62" customFormat="1" ht="18" customHeight="1">
      <c r="A10" s="122" t="s">
        <v>25</v>
      </c>
      <c r="B10" s="113" t="s">
        <v>159</v>
      </c>
      <c r="C10" s="114">
        <v>60456246</v>
      </c>
      <c r="D10" s="114">
        <f t="shared" ref="D10:D18" si="3">E10+G10</f>
        <v>106934</v>
      </c>
      <c r="E10" s="114">
        <v>21651</v>
      </c>
      <c r="F10" s="115" t="s">
        <v>196</v>
      </c>
      <c r="G10" s="114">
        <v>85283</v>
      </c>
      <c r="H10" s="115" t="s">
        <v>196</v>
      </c>
      <c r="I10" s="114">
        <v>60563180</v>
      </c>
      <c r="J10" s="114">
        <v>14556481.729999999</v>
      </c>
      <c r="K10" s="114">
        <v>56707641</v>
      </c>
      <c r="L10" s="114">
        <f t="shared" si="2"/>
        <v>3855539</v>
      </c>
      <c r="M10" s="117">
        <f>I10-C10-D10</f>
        <v>0</v>
      </c>
      <c r="N10" s="61"/>
    </row>
    <row r="11" spans="1:14" s="62" customFormat="1" ht="18" customHeight="1">
      <c r="A11" s="122" t="s">
        <v>26</v>
      </c>
      <c r="B11" s="113" t="s">
        <v>160</v>
      </c>
      <c r="C11" s="114">
        <v>12267559</v>
      </c>
      <c r="D11" s="114">
        <f t="shared" si="3"/>
        <v>0</v>
      </c>
      <c r="E11" s="114">
        <v>0</v>
      </c>
      <c r="F11" s="115"/>
      <c r="G11" s="114">
        <v>0</v>
      </c>
      <c r="H11" s="115"/>
      <c r="I11" s="114">
        <v>12267559</v>
      </c>
      <c r="J11" s="114">
        <v>1398010.94</v>
      </c>
      <c r="K11" s="114">
        <v>12267559</v>
      </c>
      <c r="L11" s="114">
        <f t="shared" si="2"/>
        <v>0</v>
      </c>
      <c r="M11" s="117">
        <f t="shared" si="0"/>
        <v>0</v>
      </c>
      <c r="N11" s="61"/>
    </row>
    <row r="12" spans="1:14" s="62" customFormat="1" ht="18" customHeight="1">
      <c r="A12" s="122" t="s">
        <v>27</v>
      </c>
      <c r="B12" s="113" t="s">
        <v>161</v>
      </c>
      <c r="C12" s="114">
        <v>6415701</v>
      </c>
      <c r="D12" s="114">
        <f t="shared" si="3"/>
        <v>0</v>
      </c>
      <c r="E12" s="114">
        <v>0</v>
      </c>
      <c r="F12" s="115"/>
      <c r="G12" s="114">
        <v>0</v>
      </c>
      <c r="H12" s="115"/>
      <c r="I12" s="114">
        <v>6415701</v>
      </c>
      <c r="J12" s="114">
        <v>682728.67000000016</v>
      </c>
      <c r="K12" s="114">
        <v>6415701</v>
      </c>
      <c r="L12" s="114">
        <f t="shared" si="2"/>
        <v>0</v>
      </c>
      <c r="M12" s="117">
        <f t="shared" si="0"/>
        <v>0</v>
      </c>
      <c r="N12" s="61"/>
    </row>
    <row r="13" spans="1:14" s="62" customFormat="1" ht="18" customHeight="1">
      <c r="A13" s="122" t="s">
        <v>100</v>
      </c>
      <c r="B13" s="113" t="s">
        <v>11</v>
      </c>
      <c r="C13" s="114">
        <v>9699710</v>
      </c>
      <c r="D13" s="114">
        <f t="shared" si="3"/>
        <v>14536063</v>
      </c>
      <c r="E13" s="114">
        <v>7613910</v>
      </c>
      <c r="F13" s="115" t="s">
        <v>577</v>
      </c>
      <c r="G13" s="114">
        <v>6922153</v>
      </c>
      <c r="H13" s="115" t="s">
        <v>193</v>
      </c>
      <c r="I13" s="114">
        <v>24235773</v>
      </c>
      <c r="J13" s="114">
        <v>3395218.0800000015</v>
      </c>
      <c r="K13" s="114">
        <v>24235773</v>
      </c>
      <c r="L13" s="114">
        <f t="shared" si="2"/>
        <v>0</v>
      </c>
      <c r="M13" s="117">
        <f t="shared" si="0"/>
        <v>0</v>
      </c>
      <c r="N13" s="61"/>
    </row>
    <row r="14" spans="1:14" s="62" customFormat="1" ht="18" customHeight="1">
      <c r="A14" s="122" t="s">
        <v>101</v>
      </c>
      <c r="B14" s="113" t="s">
        <v>162</v>
      </c>
      <c r="C14" s="114">
        <v>13597190</v>
      </c>
      <c r="D14" s="114">
        <f t="shared" si="3"/>
        <v>0</v>
      </c>
      <c r="E14" s="114">
        <v>0</v>
      </c>
      <c r="F14" s="115"/>
      <c r="G14" s="114">
        <v>0</v>
      </c>
      <c r="H14" s="115"/>
      <c r="I14" s="114">
        <v>13597190</v>
      </c>
      <c r="J14" s="114">
        <v>1791535.7899999996</v>
      </c>
      <c r="K14" s="114">
        <v>13597190</v>
      </c>
      <c r="L14" s="114">
        <f t="shared" si="2"/>
        <v>0</v>
      </c>
      <c r="M14" s="117">
        <f t="shared" si="0"/>
        <v>0</v>
      </c>
      <c r="N14" s="61"/>
    </row>
    <row r="15" spans="1:14" s="62" customFormat="1" ht="18" customHeight="1">
      <c r="A15" s="122" t="s">
        <v>102</v>
      </c>
      <c r="B15" s="113" t="s">
        <v>163</v>
      </c>
      <c r="C15" s="114">
        <v>37901842</v>
      </c>
      <c r="D15" s="114">
        <f t="shared" si="3"/>
        <v>361758</v>
      </c>
      <c r="E15" s="114">
        <v>348597</v>
      </c>
      <c r="F15" s="115" t="s">
        <v>193</v>
      </c>
      <c r="G15" s="114">
        <v>13161</v>
      </c>
      <c r="H15" s="115" t="s">
        <v>193</v>
      </c>
      <c r="I15" s="114">
        <v>38263600</v>
      </c>
      <c r="J15" s="114">
        <v>5098293.5799999973</v>
      </c>
      <c r="K15" s="114">
        <v>38263600</v>
      </c>
      <c r="L15" s="114">
        <f t="shared" si="2"/>
        <v>0</v>
      </c>
      <c r="M15" s="117">
        <f t="shared" si="0"/>
        <v>0</v>
      </c>
      <c r="N15" s="61"/>
    </row>
    <row r="16" spans="1:14" s="62" customFormat="1" ht="18" customHeight="1">
      <c r="A16" s="122" t="s">
        <v>103</v>
      </c>
      <c r="B16" s="113" t="s">
        <v>164</v>
      </c>
      <c r="C16" s="114">
        <v>562747488</v>
      </c>
      <c r="D16" s="114">
        <f t="shared" si="3"/>
        <v>69178376</v>
      </c>
      <c r="E16" s="114">
        <v>68465707</v>
      </c>
      <c r="F16" s="115" t="s">
        <v>602</v>
      </c>
      <c r="G16" s="114">
        <v>712669</v>
      </c>
      <c r="H16" s="115" t="s">
        <v>196</v>
      </c>
      <c r="I16" s="114">
        <v>631925864</v>
      </c>
      <c r="J16" s="114">
        <v>124055655.63000001</v>
      </c>
      <c r="K16" s="114">
        <v>642579040</v>
      </c>
      <c r="L16" s="114">
        <f t="shared" si="2"/>
        <v>-10653176</v>
      </c>
      <c r="M16" s="117">
        <f t="shared" si="0"/>
        <v>0</v>
      </c>
      <c r="N16" s="61"/>
    </row>
    <row r="17" spans="1:14" s="62" customFormat="1" ht="18" customHeight="1">
      <c r="A17" s="122" t="s">
        <v>104</v>
      </c>
      <c r="B17" s="113" t="s">
        <v>165</v>
      </c>
      <c r="C17" s="114">
        <v>314739184</v>
      </c>
      <c r="D17" s="114">
        <f t="shared" si="3"/>
        <v>5563153</v>
      </c>
      <c r="E17" s="114">
        <v>4166932</v>
      </c>
      <c r="F17" s="115" t="s">
        <v>196</v>
      </c>
      <c r="G17" s="114">
        <v>1396221</v>
      </c>
      <c r="H17" s="115" t="s">
        <v>196</v>
      </c>
      <c r="I17" s="114">
        <v>320302337</v>
      </c>
      <c r="J17" s="114">
        <v>102692357.59999996</v>
      </c>
      <c r="K17" s="114">
        <v>310345514</v>
      </c>
      <c r="L17" s="114">
        <f t="shared" si="2"/>
        <v>9956823</v>
      </c>
      <c r="M17" s="117">
        <f t="shared" si="0"/>
        <v>0</v>
      </c>
      <c r="N17" s="61"/>
    </row>
    <row r="18" spans="1:14" s="62" customFormat="1" ht="18" customHeight="1">
      <c r="A18" s="122" t="s">
        <v>105</v>
      </c>
      <c r="B18" s="113" t="s">
        <v>166</v>
      </c>
      <c r="C18" s="114">
        <v>24670997</v>
      </c>
      <c r="D18" s="114">
        <f t="shared" si="3"/>
        <v>0</v>
      </c>
      <c r="E18" s="114">
        <v>0</v>
      </c>
      <c r="F18" s="115"/>
      <c r="G18" s="114">
        <v>0</v>
      </c>
      <c r="H18" s="115"/>
      <c r="I18" s="114">
        <v>24670997</v>
      </c>
      <c r="J18" s="114">
        <v>5736405.0599999996</v>
      </c>
      <c r="K18" s="114">
        <v>25351140</v>
      </c>
      <c r="L18" s="114">
        <f t="shared" si="2"/>
        <v>-680143</v>
      </c>
      <c r="M18" s="117">
        <f t="shared" si="0"/>
        <v>0</v>
      </c>
      <c r="N18" s="61"/>
    </row>
    <row r="19" spans="1:14" s="72" customFormat="1" ht="7.5" customHeight="1">
      <c r="A19" s="122"/>
      <c r="B19" s="123"/>
      <c r="C19" s="114"/>
      <c r="D19" s="114"/>
      <c r="E19" s="114"/>
      <c r="F19" s="115"/>
      <c r="G19" s="115"/>
      <c r="H19" s="115"/>
      <c r="I19" s="114"/>
      <c r="J19" s="114"/>
      <c r="K19" s="114"/>
      <c r="L19" s="114"/>
      <c r="M19" s="117">
        <f t="shared" si="0"/>
        <v>0</v>
      </c>
      <c r="N19" s="70"/>
    </row>
    <row r="20" spans="1:14" s="71" customFormat="1" ht="18" customHeight="1">
      <c r="A20" s="118" t="s">
        <v>222</v>
      </c>
      <c r="B20" s="119"/>
      <c r="C20" s="120">
        <f>SUM(C8:C18)</f>
        <v>1957625543</v>
      </c>
      <c r="D20" s="120">
        <f>SUM(D8:D18)</f>
        <v>79182393</v>
      </c>
      <c r="E20" s="120">
        <f>SUM(E8:E18)</f>
        <v>69665234</v>
      </c>
      <c r="F20" s="120"/>
      <c r="G20" s="120">
        <f>SUM(G8:G18)</f>
        <v>9517159</v>
      </c>
      <c r="H20" s="120"/>
      <c r="I20" s="120">
        <f>SUM(I8:I18)</f>
        <v>2036807936</v>
      </c>
      <c r="J20" s="120">
        <f>SUM(J8:J18)</f>
        <v>517117038.60999781</v>
      </c>
      <c r="K20" s="120">
        <f>SUM(K8:K18)</f>
        <v>2034328893</v>
      </c>
      <c r="L20" s="120">
        <f>SUM(L8:L18)</f>
        <v>2479043</v>
      </c>
      <c r="M20" s="117">
        <f t="shared" si="0"/>
        <v>0</v>
      </c>
      <c r="N20" s="61"/>
    </row>
    <row r="21" spans="1:14" s="62" customFormat="1" ht="18" customHeight="1">
      <c r="A21" s="122" t="s">
        <v>28</v>
      </c>
      <c r="B21" s="113" t="s">
        <v>14</v>
      </c>
      <c r="C21" s="114">
        <v>24412360</v>
      </c>
      <c r="D21" s="114">
        <f t="shared" ref="D21:D26" si="4">E21+G21</f>
        <v>1706261</v>
      </c>
      <c r="E21" s="114">
        <v>1719422</v>
      </c>
      <c r="F21" s="115" t="s">
        <v>193</v>
      </c>
      <c r="G21" s="114">
        <v>-13161</v>
      </c>
      <c r="H21" s="115" t="s">
        <v>193</v>
      </c>
      <c r="I21" s="114">
        <v>26118621</v>
      </c>
      <c r="J21" s="114">
        <v>6049149.8299999991</v>
      </c>
      <c r="K21" s="114">
        <v>26118621</v>
      </c>
      <c r="L21" s="114">
        <f t="shared" ref="L21:L26" si="5">I21-K21</f>
        <v>0</v>
      </c>
      <c r="M21" s="117">
        <f>I21-C21-D21</f>
        <v>0</v>
      </c>
      <c r="N21" s="61"/>
    </row>
    <row r="22" spans="1:14" s="62" customFormat="1" ht="18" customHeight="1">
      <c r="A22" s="122" t="s">
        <v>106</v>
      </c>
      <c r="B22" s="113" t="s">
        <v>15</v>
      </c>
      <c r="C22" s="114">
        <v>8922558</v>
      </c>
      <c r="D22" s="114">
        <f t="shared" si="4"/>
        <v>1000000</v>
      </c>
      <c r="E22" s="114">
        <v>1000000</v>
      </c>
      <c r="F22" s="115" t="s">
        <v>193</v>
      </c>
      <c r="G22" s="114">
        <v>0</v>
      </c>
      <c r="H22" s="115"/>
      <c r="I22" s="114">
        <v>9922558</v>
      </c>
      <c r="J22" s="114">
        <v>1085277.8499999999</v>
      </c>
      <c r="K22" s="114">
        <v>9922558</v>
      </c>
      <c r="L22" s="114">
        <f t="shared" si="5"/>
        <v>0</v>
      </c>
      <c r="M22" s="117">
        <f t="shared" si="0"/>
        <v>0</v>
      </c>
      <c r="N22" s="61"/>
    </row>
    <row r="23" spans="1:14" s="62" customFormat="1" ht="18" customHeight="1">
      <c r="A23" s="122" t="s">
        <v>107</v>
      </c>
      <c r="B23" s="113" t="s">
        <v>16</v>
      </c>
      <c r="C23" s="114">
        <v>4548914</v>
      </c>
      <c r="D23" s="114">
        <f t="shared" si="4"/>
        <v>364627</v>
      </c>
      <c r="E23" s="114">
        <v>364627</v>
      </c>
      <c r="F23" s="115" t="s">
        <v>193</v>
      </c>
      <c r="G23" s="114">
        <v>0</v>
      </c>
      <c r="H23" s="115"/>
      <c r="I23" s="114">
        <v>4913541</v>
      </c>
      <c r="J23" s="114">
        <v>740702.9600000002</v>
      </c>
      <c r="K23" s="114">
        <v>4913541</v>
      </c>
      <c r="L23" s="114">
        <f t="shared" si="5"/>
        <v>0</v>
      </c>
      <c r="M23" s="117">
        <f t="shared" si="0"/>
        <v>0</v>
      </c>
      <c r="N23" s="61"/>
    </row>
    <row r="24" spans="1:14" s="62" customFormat="1" ht="18" customHeight="1">
      <c r="A24" s="122" t="s">
        <v>93</v>
      </c>
      <c r="B24" s="113" t="s">
        <v>135</v>
      </c>
      <c r="C24" s="114">
        <v>30164830</v>
      </c>
      <c r="D24" s="114">
        <f t="shared" si="4"/>
        <v>1887000</v>
      </c>
      <c r="E24" s="114">
        <v>1887000</v>
      </c>
      <c r="F24" s="115" t="s">
        <v>576</v>
      </c>
      <c r="G24" s="114">
        <v>0</v>
      </c>
      <c r="H24" s="115"/>
      <c r="I24" s="114">
        <v>32051830</v>
      </c>
      <c r="J24" s="114">
        <v>5852312.5999999987</v>
      </c>
      <c r="K24" s="114">
        <v>32051830</v>
      </c>
      <c r="L24" s="114">
        <f t="shared" si="5"/>
        <v>0</v>
      </c>
      <c r="M24" s="117">
        <f t="shared" si="0"/>
        <v>0</v>
      </c>
      <c r="N24" s="61"/>
    </row>
    <row r="25" spans="1:14" s="62" customFormat="1" ht="18" customHeight="1">
      <c r="A25" s="122" t="s">
        <v>94</v>
      </c>
      <c r="B25" s="113" t="s">
        <v>290</v>
      </c>
      <c r="C25" s="114">
        <v>36839903</v>
      </c>
      <c r="D25" s="114">
        <f t="shared" si="4"/>
        <v>5548611</v>
      </c>
      <c r="E25" s="114">
        <v>3919173</v>
      </c>
      <c r="F25" s="115" t="s">
        <v>193</v>
      </c>
      <c r="G25" s="114">
        <v>1629438</v>
      </c>
      <c r="H25" s="115" t="s">
        <v>193</v>
      </c>
      <c r="I25" s="114">
        <v>42388514</v>
      </c>
      <c r="J25" s="114">
        <v>5750003.0399999991</v>
      </c>
      <c r="K25" s="114">
        <v>42388514</v>
      </c>
      <c r="L25" s="114">
        <f t="shared" si="5"/>
        <v>0</v>
      </c>
      <c r="M25" s="117">
        <f>I25-C25-D25</f>
        <v>0</v>
      </c>
      <c r="N25" s="61"/>
    </row>
    <row r="26" spans="1:14" s="62" customFormat="1" ht="18" customHeight="1">
      <c r="A26" s="122" t="s">
        <v>108</v>
      </c>
      <c r="B26" s="113" t="s">
        <v>136</v>
      </c>
      <c r="C26" s="114">
        <v>7549456</v>
      </c>
      <c r="D26" s="114">
        <f t="shared" si="4"/>
        <v>1286135</v>
      </c>
      <c r="E26" s="114">
        <v>1237758</v>
      </c>
      <c r="F26" s="313" t="s">
        <v>193</v>
      </c>
      <c r="G26" s="114">
        <v>48377</v>
      </c>
      <c r="H26" s="115" t="s">
        <v>193</v>
      </c>
      <c r="I26" s="114">
        <v>8835591</v>
      </c>
      <c r="J26" s="114">
        <v>1262327.5700000017</v>
      </c>
      <c r="K26" s="114">
        <v>8835591</v>
      </c>
      <c r="L26" s="114">
        <f t="shared" si="5"/>
        <v>0</v>
      </c>
      <c r="M26" s="117">
        <f>I26-C26-D26</f>
        <v>0</v>
      </c>
      <c r="N26" s="61"/>
    </row>
    <row r="27" spans="1:14" s="72" customFormat="1" ht="7.5" customHeight="1">
      <c r="A27" s="122"/>
      <c r="B27" s="113"/>
      <c r="C27" s="114"/>
      <c r="D27" s="114"/>
      <c r="E27" s="114"/>
      <c r="F27" s="115"/>
      <c r="G27" s="115"/>
      <c r="H27" s="115"/>
      <c r="I27" s="114"/>
      <c r="J27" s="114"/>
      <c r="K27" s="114"/>
      <c r="L27" s="114"/>
      <c r="M27" s="117">
        <f t="shared" si="0"/>
        <v>0</v>
      </c>
      <c r="N27" s="70"/>
    </row>
    <row r="28" spans="1:14" s="71" customFormat="1" ht="18" customHeight="1">
      <c r="A28" s="118" t="s">
        <v>223</v>
      </c>
      <c r="B28" s="119"/>
      <c r="C28" s="120">
        <f>SUM(C21:C26)</f>
        <v>112438021</v>
      </c>
      <c r="D28" s="120">
        <f>SUM(D21:D26)</f>
        <v>11792634</v>
      </c>
      <c r="E28" s="120">
        <f>SUM(E21:E26)</f>
        <v>10127980</v>
      </c>
      <c r="F28" s="121"/>
      <c r="G28" s="120">
        <f>SUM(G21:G26)</f>
        <v>1664654</v>
      </c>
      <c r="H28" s="121"/>
      <c r="I28" s="120">
        <f>SUM(I21:I26)</f>
        <v>124230655</v>
      </c>
      <c r="J28" s="120">
        <f>SUM(J21:J26)</f>
        <v>20739773.849999998</v>
      </c>
      <c r="K28" s="120">
        <f>SUM(K21:K26)</f>
        <v>124230655</v>
      </c>
      <c r="L28" s="120">
        <f>SUM(L21:L26)</f>
        <v>0</v>
      </c>
      <c r="M28" s="117">
        <f t="shared" si="0"/>
        <v>0</v>
      </c>
      <c r="N28" s="61"/>
    </row>
    <row r="29" spans="1:14" s="62" customFormat="1" ht="18" customHeight="1">
      <c r="A29" s="122" t="s">
        <v>95</v>
      </c>
      <c r="B29" s="113" t="s">
        <v>167</v>
      </c>
      <c r="C29" s="114">
        <v>56126600</v>
      </c>
      <c r="D29" s="114">
        <f>E29+G29</f>
        <v>4967725</v>
      </c>
      <c r="E29" s="114">
        <v>5781554</v>
      </c>
      <c r="F29" s="115" t="s">
        <v>599</v>
      </c>
      <c r="G29" s="114">
        <v>-813829</v>
      </c>
      <c r="H29" s="115" t="s">
        <v>194</v>
      </c>
      <c r="I29" s="114">
        <v>61094325</v>
      </c>
      <c r="J29" s="114">
        <v>15398466.139999982</v>
      </c>
      <c r="K29" s="114">
        <v>61094325</v>
      </c>
      <c r="L29" s="114">
        <f>I29-K29</f>
        <v>0</v>
      </c>
      <c r="M29" s="117">
        <f t="shared" si="0"/>
        <v>0</v>
      </c>
      <c r="N29" s="61"/>
    </row>
    <row r="30" spans="1:14" s="62" customFormat="1" ht="18" customHeight="1">
      <c r="A30" s="122" t="s">
        <v>96</v>
      </c>
      <c r="B30" s="113" t="s">
        <v>109</v>
      </c>
      <c r="C30" s="114">
        <v>4221275</v>
      </c>
      <c r="D30" s="114">
        <f>E30+G30</f>
        <v>5193012</v>
      </c>
      <c r="E30" s="114">
        <v>3623839</v>
      </c>
      <c r="F30" s="115" t="s">
        <v>541</v>
      </c>
      <c r="G30" s="114">
        <v>1569173</v>
      </c>
      <c r="H30" s="115" t="s">
        <v>193</v>
      </c>
      <c r="I30" s="114">
        <v>9414287</v>
      </c>
      <c r="J30" s="114">
        <v>1357462.1200000006</v>
      </c>
      <c r="K30" s="114">
        <v>9414287</v>
      </c>
      <c r="L30" s="114">
        <f>I30-K30</f>
        <v>0</v>
      </c>
      <c r="M30" s="117">
        <f t="shared" si="0"/>
        <v>0</v>
      </c>
      <c r="N30" s="61"/>
    </row>
    <row r="31" spans="1:14" s="62" customFormat="1" ht="18" customHeight="1">
      <c r="A31" s="122" t="s">
        <v>97</v>
      </c>
      <c r="B31" s="113" t="s">
        <v>168</v>
      </c>
      <c r="C31" s="114">
        <v>9399818</v>
      </c>
      <c r="D31" s="114">
        <f>E31+G31</f>
        <v>0</v>
      </c>
      <c r="E31" s="114">
        <v>0</v>
      </c>
      <c r="F31" s="115"/>
      <c r="G31" s="114">
        <v>0</v>
      </c>
      <c r="H31" s="115"/>
      <c r="I31" s="114">
        <v>9399818</v>
      </c>
      <c r="J31" s="114">
        <v>3882969.1799999988</v>
      </c>
      <c r="K31" s="114">
        <v>9399818</v>
      </c>
      <c r="L31" s="114">
        <f>I31-K31</f>
        <v>0</v>
      </c>
      <c r="M31" s="117">
        <f t="shared" si="0"/>
        <v>0</v>
      </c>
      <c r="N31" s="61"/>
    </row>
    <row r="32" spans="1:14" s="72" customFormat="1" ht="7.5" customHeight="1">
      <c r="A32" s="122"/>
      <c r="B32" s="113"/>
      <c r="C32" s="114"/>
      <c r="D32" s="114"/>
      <c r="E32" s="114"/>
      <c r="F32" s="115"/>
      <c r="G32" s="115"/>
      <c r="H32" s="115"/>
      <c r="I32" s="114"/>
      <c r="J32" s="114"/>
      <c r="K32" s="114"/>
      <c r="L32" s="114"/>
      <c r="M32" s="117">
        <f t="shared" si="0"/>
        <v>0</v>
      </c>
      <c r="N32" s="70"/>
    </row>
    <row r="33" spans="1:15" s="62" customFormat="1" ht="18" customHeight="1">
      <c r="A33" s="124" t="s">
        <v>224</v>
      </c>
      <c r="B33" s="119"/>
      <c r="C33" s="120">
        <f>SUM(C29:C31)</f>
        <v>69747693</v>
      </c>
      <c r="D33" s="120">
        <f>SUM(D29:D31)</f>
        <v>10160737</v>
      </c>
      <c r="E33" s="120">
        <f>SUM(E29:E31)</f>
        <v>9405393</v>
      </c>
      <c r="F33" s="121"/>
      <c r="G33" s="121">
        <f>SUM(G29:G31)</f>
        <v>755344</v>
      </c>
      <c r="H33" s="121"/>
      <c r="I33" s="120">
        <f>SUM(I29:I31)</f>
        <v>79908430</v>
      </c>
      <c r="J33" s="120">
        <f>SUM(J29:J31)</f>
        <v>20638897.439999983</v>
      </c>
      <c r="K33" s="120">
        <f>SUM(K29:K31)</f>
        <v>79908430</v>
      </c>
      <c r="L33" s="120">
        <f>SUM(L29:L31)</f>
        <v>0</v>
      </c>
      <c r="M33" s="117">
        <f t="shared" si="0"/>
        <v>0</v>
      </c>
      <c r="N33" s="388"/>
    </row>
    <row r="34" spans="1:15" s="62" customFormat="1" ht="18" customHeight="1">
      <c r="A34" s="122" t="s">
        <v>98</v>
      </c>
      <c r="B34" s="125" t="s">
        <v>18</v>
      </c>
      <c r="C34" s="114">
        <v>29181784</v>
      </c>
      <c r="D34" s="114">
        <f>E34+G34</f>
        <v>-177124</v>
      </c>
      <c r="E34" s="114">
        <v>-177124</v>
      </c>
      <c r="F34" s="115" t="s">
        <v>196</v>
      </c>
      <c r="G34" s="114">
        <v>0</v>
      </c>
      <c r="H34" s="115"/>
      <c r="I34" s="114">
        <v>29004660</v>
      </c>
      <c r="J34" s="114">
        <v>7733149.5399999861</v>
      </c>
      <c r="K34" s="114">
        <v>29004660</v>
      </c>
      <c r="L34" s="114">
        <f>I34-K34</f>
        <v>0</v>
      </c>
      <c r="M34" s="117">
        <f t="shared" si="0"/>
        <v>0</v>
      </c>
      <c r="N34" s="61"/>
    </row>
    <row r="35" spans="1:15" s="62" customFormat="1" ht="18" customHeight="1">
      <c r="A35" s="122" t="s">
        <v>252</v>
      </c>
      <c r="B35" s="125" t="s">
        <v>19</v>
      </c>
      <c r="C35" s="114">
        <v>15048297</v>
      </c>
      <c r="D35" s="114">
        <f>E35+G35</f>
        <v>-92424</v>
      </c>
      <c r="E35" s="114">
        <v>-92424</v>
      </c>
      <c r="F35" s="115" t="s">
        <v>196</v>
      </c>
      <c r="G35" s="114">
        <v>0</v>
      </c>
      <c r="H35" s="115"/>
      <c r="I35" s="114">
        <v>14955873</v>
      </c>
      <c r="J35" s="114">
        <v>3821871.2200000044</v>
      </c>
      <c r="K35" s="114">
        <v>14955873</v>
      </c>
      <c r="L35" s="114">
        <f>I35-K35</f>
        <v>0</v>
      </c>
      <c r="M35" s="117">
        <f t="shared" si="0"/>
        <v>0</v>
      </c>
      <c r="N35" s="61"/>
    </row>
    <row r="36" spans="1:15" s="62" customFormat="1" ht="18" customHeight="1">
      <c r="A36" s="122" t="s">
        <v>253</v>
      </c>
      <c r="B36" s="125" t="s">
        <v>20</v>
      </c>
      <c r="C36" s="114">
        <v>1220912</v>
      </c>
      <c r="D36" s="114">
        <f>E36+G36</f>
        <v>-7048</v>
      </c>
      <c r="E36" s="114">
        <v>-7048</v>
      </c>
      <c r="F36" s="115" t="s">
        <v>196</v>
      </c>
      <c r="G36" s="114">
        <v>0</v>
      </c>
      <c r="H36" s="115"/>
      <c r="I36" s="114">
        <v>1213864</v>
      </c>
      <c r="J36" s="114">
        <v>307825.60999999987</v>
      </c>
      <c r="K36" s="114">
        <v>1213864</v>
      </c>
      <c r="L36" s="114">
        <f>I36-K36</f>
        <v>0</v>
      </c>
      <c r="M36" s="117">
        <f t="shared" si="0"/>
        <v>0</v>
      </c>
      <c r="N36" s="61"/>
    </row>
    <row r="37" spans="1:15" s="62" customFormat="1" ht="18" customHeight="1">
      <c r="A37" s="122" t="s">
        <v>254</v>
      </c>
      <c r="B37" s="125" t="s">
        <v>21</v>
      </c>
      <c r="C37" s="114">
        <v>46183074</v>
      </c>
      <c r="D37" s="114">
        <f>E37+G37</f>
        <v>1345738</v>
      </c>
      <c r="E37" s="114">
        <v>1976930</v>
      </c>
      <c r="F37" s="115" t="s">
        <v>541</v>
      </c>
      <c r="G37" s="114">
        <v>-631192</v>
      </c>
      <c r="H37" s="115" t="s">
        <v>193</v>
      </c>
      <c r="I37" s="114">
        <v>47528812</v>
      </c>
      <c r="J37" s="114">
        <v>9032252.6300000213</v>
      </c>
      <c r="K37" s="114">
        <v>47528812</v>
      </c>
      <c r="L37" s="114">
        <f>I37-K37</f>
        <v>0</v>
      </c>
      <c r="M37" s="117">
        <f t="shared" si="0"/>
        <v>0</v>
      </c>
      <c r="N37" s="61"/>
    </row>
    <row r="38" spans="1:15" s="72" customFormat="1" ht="7.5" customHeight="1">
      <c r="A38" s="122"/>
      <c r="B38" s="125"/>
      <c r="C38" s="114"/>
      <c r="D38" s="114"/>
      <c r="E38" s="114"/>
      <c r="F38" s="115"/>
      <c r="G38" s="115"/>
      <c r="H38" s="115"/>
      <c r="I38" s="114"/>
      <c r="J38" s="114"/>
      <c r="K38" s="114"/>
      <c r="L38" s="114"/>
      <c r="M38" s="117">
        <f t="shared" si="0"/>
        <v>0</v>
      </c>
      <c r="N38" s="70"/>
    </row>
    <row r="39" spans="1:15" s="71" customFormat="1" ht="18" customHeight="1">
      <c r="A39" s="118" t="s">
        <v>350</v>
      </c>
      <c r="B39" s="119"/>
      <c r="C39" s="120">
        <f>SUM(C34:C38)</f>
        <v>91634067</v>
      </c>
      <c r="D39" s="120">
        <f>SUM(D34:D38)</f>
        <v>1069142</v>
      </c>
      <c r="E39" s="120">
        <f>SUM(E34:E38)</f>
        <v>1700334</v>
      </c>
      <c r="F39" s="121"/>
      <c r="G39" s="121">
        <f>SUM(G34:G38)</f>
        <v>-631192</v>
      </c>
      <c r="H39" s="121"/>
      <c r="I39" s="120">
        <f>SUM(I34:I38)</f>
        <v>92703209</v>
      </c>
      <c r="J39" s="120">
        <f>SUM(J34:J38)</f>
        <v>20895099.000000011</v>
      </c>
      <c r="K39" s="120">
        <f>SUM(K34:K38)</f>
        <v>92703209</v>
      </c>
      <c r="L39" s="120">
        <f>SUM(L34:L38)</f>
        <v>0</v>
      </c>
      <c r="M39" s="117">
        <f>I39-C39-D39</f>
        <v>0</v>
      </c>
      <c r="N39" s="61"/>
    </row>
    <row r="40" spans="1:15" s="62" customFormat="1" ht="18" customHeight="1">
      <c r="A40" s="122" t="s">
        <v>99</v>
      </c>
      <c r="B40" s="123" t="s">
        <v>110</v>
      </c>
      <c r="C40" s="114">
        <v>27174151</v>
      </c>
      <c r="D40" s="114">
        <f>E40+G40</f>
        <v>5423602</v>
      </c>
      <c r="E40" s="114">
        <v>5423602</v>
      </c>
      <c r="F40" s="115" t="s">
        <v>546</v>
      </c>
      <c r="G40" s="114">
        <v>0</v>
      </c>
      <c r="H40" s="115"/>
      <c r="I40" s="114">
        <v>32597753</v>
      </c>
      <c r="J40" s="114">
        <v>4254140.6799999932</v>
      </c>
      <c r="K40" s="114">
        <v>32597753</v>
      </c>
      <c r="L40" s="114">
        <f>I40-K40</f>
        <v>0</v>
      </c>
      <c r="M40" s="117">
        <f t="shared" si="0"/>
        <v>0</v>
      </c>
      <c r="N40" s="61"/>
    </row>
    <row r="41" spans="1:15" s="72" customFormat="1" ht="7.5" customHeight="1">
      <c r="A41" s="122"/>
      <c r="B41" s="125"/>
      <c r="C41" s="114"/>
      <c r="D41" s="114"/>
      <c r="E41" s="114"/>
      <c r="F41" s="115"/>
      <c r="G41" s="115"/>
      <c r="H41" s="115"/>
      <c r="I41" s="114"/>
      <c r="J41" s="114"/>
      <c r="K41" s="114"/>
      <c r="L41" s="114"/>
      <c r="M41" s="117">
        <f t="shared" si="0"/>
        <v>0</v>
      </c>
      <c r="N41" s="70"/>
    </row>
    <row r="42" spans="1:15" s="71" customFormat="1" ht="18" customHeight="1">
      <c r="A42" s="118" t="s">
        <v>351</v>
      </c>
      <c r="B42" s="119"/>
      <c r="C42" s="120">
        <f>SUM(C40:C40)</f>
        <v>27174151</v>
      </c>
      <c r="D42" s="120">
        <f>SUM(D40:D40)</f>
        <v>5423602</v>
      </c>
      <c r="E42" s="120">
        <f>SUM(E40:E40)</f>
        <v>5423602</v>
      </c>
      <c r="F42" s="121"/>
      <c r="G42" s="120">
        <f>SUM(G40:G40)</f>
        <v>0</v>
      </c>
      <c r="H42" s="121"/>
      <c r="I42" s="120">
        <f>SUM(I40:I40)</f>
        <v>32597753</v>
      </c>
      <c r="J42" s="120">
        <f>SUM(J40:J40)</f>
        <v>4254140.6799999932</v>
      </c>
      <c r="K42" s="120">
        <f>SUM(K40:K40)</f>
        <v>32597753</v>
      </c>
      <c r="L42" s="120">
        <f>SUM(L40:L40)</f>
        <v>0</v>
      </c>
      <c r="M42" s="117">
        <f t="shared" si="0"/>
        <v>0</v>
      </c>
      <c r="N42" s="61"/>
    </row>
    <row r="43" spans="1:15" s="71" customFormat="1" ht="5.4" customHeight="1">
      <c r="A43" s="127"/>
      <c r="B43" s="128"/>
      <c r="C43" s="129"/>
      <c r="D43" s="129"/>
      <c r="E43" s="129"/>
      <c r="F43" s="130"/>
      <c r="G43" s="129"/>
      <c r="H43" s="130"/>
      <c r="I43" s="129"/>
      <c r="J43" s="129"/>
      <c r="K43" s="129"/>
      <c r="L43" s="129"/>
      <c r="M43" s="117"/>
      <c r="N43" s="61"/>
    </row>
    <row r="44" spans="1:15" s="71" customFormat="1" ht="18" customHeight="1">
      <c r="A44" s="122" t="s">
        <v>525</v>
      </c>
      <c r="B44" s="123" t="s">
        <v>526</v>
      </c>
      <c r="C44" s="114"/>
      <c r="D44" s="114">
        <f>E44+G44</f>
        <v>7689570</v>
      </c>
      <c r="E44" s="114">
        <v>7689570</v>
      </c>
      <c r="F44" s="115" t="s">
        <v>296</v>
      </c>
      <c r="G44" s="114">
        <v>0</v>
      </c>
      <c r="H44" s="115"/>
      <c r="I44" s="114">
        <v>7689570</v>
      </c>
      <c r="J44" s="114">
        <v>1008758.810000001</v>
      </c>
      <c r="K44" s="114">
        <v>7689570</v>
      </c>
      <c r="L44" s="114">
        <f>I44-K44</f>
        <v>0</v>
      </c>
      <c r="M44" s="117">
        <f t="shared" ref="M44:M46" si="6">I44-C44-D44</f>
        <v>0</v>
      </c>
      <c r="N44" s="61"/>
    </row>
    <row r="45" spans="1:15" s="73" customFormat="1" ht="7.5" customHeight="1">
      <c r="A45" s="122"/>
      <c r="B45" s="125"/>
      <c r="C45" s="114"/>
      <c r="D45" s="114"/>
      <c r="E45" s="114"/>
      <c r="F45" s="115"/>
      <c r="G45" s="115"/>
      <c r="H45" s="115"/>
      <c r="I45" s="114"/>
      <c r="J45" s="114"/>
      <c r="K45" s="114"/>
      <c r="L45" s="114"/>
      <c r="M45" s="117">
        <f t="shared" si="6"/>
        <v>0</v>
      </c>
      <c r="N45" s="70"/>
    </row>
    <row r="46" spans="1:15" s="71" customFormat="1" ht="18" customHeight="1">
      <c r="A46" s="118" t="s">
        <v>527</v>
      </c>
      <c r="B46" s="119"/>
      <c r="C46" s="120">
        <f>SUM(C44:C44)</f>
        <v>0</v>
      </c>
      <c r="D46" s="120">
        <f>SUM(D44:D44)</f>
        <v>7689570</v>
      </c>
      <c r="E46" s="120">
        <v>7689570</v>
      </c>
      <c r="F46" s="121"/>
      <c r="G46" s="120">
        <f>SUM(G44:G44)</f>
        <v>0</v>
      </c>
      <c r="H46" s="121"/>
      <c r="I46" s="120">
        <f>SUM(I44:I44)</f>
        <v>7689570</v>
      </c>
      <c r="J46" s="120">
        <f>SUM(J44:J44)</f>
        <v>1008758.810000001</v>
      </c>
      <c r="K46" s="120">
        <f>SUM(K44:K44)</f>
        <v>7689570</v>
      </c>
      <c r="L46" s="120">
        <f>SUM(L44:L44)</f>
        <v>0</v>
      </c>
      <c r="M46" s="117">
        <f t="shared" si="6"/>
        <v>0</v>
      </c>
      <c r="N46" s="61"/>
    </row>
    <row r="47" spans="1:15" s="74" customFormat="1" ht="18" customHeight="1">
      <c r="A47" s="127"/>
      <c r="B47" s="128"/>
      <c r="C47" s="129"/>
      <c r="D47" s="129"/>
      <c r="E47" s="129"/>
      <c r="F47" s="130"/>
      <c r="G47" s="129"/>
      <c r="H47" s="130"/>
      <c r="I47" s="129"/>
      <c r="J47" s="129"/>
      <c r="K47" s="129"/>
      <c r="L47" s="129"/>
      <c r="M47" s="117"/>
      <c r="N47" s="75"/>
      <c r="O47" s="75"/>
    </row>
    <row r="48" spans="1:15" s="74" customFormat="1" ht="18" customHeight="1">
      <c r="A48" s="127"/>
      <c r="B48" s="128"/>
      <c r="C48" s="129"/>
      <c r="D48" s="129"/>
      <c r="E48" s="129"/>
      <c r="F48" s="130"/>
      <c r="G48" s="130"/>
      <c r="H48" s="130"/>
      <c r="I48" s="129"/>
      <c r="J48" s="129"/>
      <c r="K48" s="129"/>
      <c r="L48" s="129"/>
      <c r="M48" s="117">
        <f t="shared" si="0"/>
        <v>0</v>
      </c>
    </row>
    <row r="49" spans="1:13" s="74" customFormat="1" ht="18" customHeight="1" thickBot="1">
      <c r="A49" s="131" t="s">
        <v>225</v>
      </c>
      <c r="B49" s="132"/>
      <c r="C49" s="390">
        <f>SUM(C42,C39,C33,C28,C20,C7,C44)</f>
        <v>2288660266</v>
      </c>
      <c r="D49" s="390">
        <f>SUM(D42,D39,D33,D28,D20,D7,D44)</f>
        <v>115248088</v>
      </c>
      <c r="E49" s="390">
        <f>SUM(E42,E39,E33,E28,E20,E7,E44)</f>
        <v>103942123</v>
      </c>
      <c r="F49" s="133"/>
      <c r="G49" s="390">
        <f>SUM(G42,G39,G33,G28,G20,G7,G44)</f>
        <v>11305965</v>
      </c>
      <c r="H49" s="133"/>
      <c r="I49" s="390">
        <f>SUM(I42,I39,I33,I28,I20,I7,I44)</f>
        <v>2403908354</v>
      </c>
      <c r="J49" s="390">
        <f>SUM(J42,J39,J33,J28,J20,J7,J44)</f>
        <v>593395638.36999774</v>
      </c>
      <c r="K49" s="390">
        <f>SUM(K42,K39,K33,K28,K20,K7,K44)</f>
        <v>2401429311</v>
      </c>
      <c r="L49" s="390">
        <f>SUM(L42,L39,L33,L28,L20,L7,L44)</f>
        <v>2479043</v>
      </c>
      <c r="M49" s="117">
        <f>I49-C49-D49</f>
        <v>0</v>
      </c>
    </row>
    <row r="50" spans="1:13" s="74" customFormat="1" ht="18" customHeight="1" thickTop="1">
      <c r="A50" s="134"/>
      <c r="B50" s="123"/>
      <c r="C50" s="114"/>
      <c r="D50" s="114"/>
      <c r="E50" s="114"/>
      <c r="F50" s="115"/>
      <c r="G50" s="114"/>
      <c r="H50" s="114"/>
      <c r="I50" s="114"/>
      <c r="J50" s="114"/>
      <c r="K50" s="114"/>
      <c r="L50" s="114"/>
      <c r="M50" s="117">
        <f t="shared" si="0"/>
        <v>0</v>
      </c>
    </row>
    <row r="51" spans="1:13" s="71" customFormat="1" ht="18" customHeight="1">
      <c r="A51" s="135" t="s">
        <v>48</v>
      </c>
      <c r="B51" s="123"/>
      <c r="C51" s="114"/>
      <c r="D51" s="114"/>
      <c r="E51" s="114"/>
      <c r="F51" s="115"/>
      <c r="G51" s="114"/>
      <c r="H51" s="114"/>
      <c r="I51" s="114"/>
      <c r="J51" s="114"/>
      <c r="K51" s="114"/>
      <c r="L51" s="114"/>
      <c r="M51" s="117">
        <f t="shared" si="0"/>
        <v>0</v>
      </c>
    </row>
    <row r="52" spans="1:13" s="74" customFormat="1" ht="18" customHeight="1">
      <c r="A52" s="126"/>
      <c r="B52" s="123" t="s">
        <v>4</v>
      </c>
      <c r="C52" s="114">
        <v>1327070267</v>
      </c>
      <c r="D52" s="114">
        <f>I52-C52</f>
        <v>72584754</v>
      </c>
      <c r="E52" s="114">
        <v>72584754</v>
      </c>
      <c r="F52" s="115"/>
      <c r="G52" s="114">
        <v>0</v>
      </c>
      <c r="H52" s="115"/>
      <c r="I52" s="114">
        <v>1399655021</v>
      </c>
      <c r="J52" s="114">
        <v>252404170.17999467</v>
      </c>
      <c r="K52" s="114">
        <v>1415594425</v>
      </c>
      <c r="L52" s="114">
        <f>I52-K52</f>
        <v>-15939404</v>
      </c>
      <c r="M52" s="117">
        <f t="shared" si="0"/>
        <v>0</v>
      </c>
    </row>
    <row r="53" spans="1:13" s="74" customFormat="1" ht="18" customHeight="1">
      <c r="A53" s="126"/>
      <c r="B53" s="123" t="s">
        <v>5</v>
      </c>
      <c r="C53" s="114">
        <v>4285000</v>
      </c>
      <c r="D53" s="114">
        <f>I53-C53</f>
        <v>0</v>
      </c>
      <c r="E53" s="114">
        <v>0</v>
      </c>
      <c r="F53" s="115"/>
      <c r="G53" s="114">
        <v>0</v>
      </c>
      <c r="H53" s="115"/>
      <c r="I53" s="114">
        <v>4285000</v>
      </c>
      <c r="J53" s="114">
        <v>0</v>
      </c>
      <c r="K53" s="114">
        <v>4285000</v>
      </c>
      <c r="L53" s="114">
        <f>I53-K53</f>
        <v>0</v>
      </c>
      <c r="M53" s="117">
        <f>I53-C53-D53</f>
        <v>0</v>
      </c>
    </row>
    <row r="54" spans="1:13" s="71" customFormat="1" ht="18" customHeight="1">
      <c r="A54" s="136"/>
      <c r="B54" s="137" t="s">
        <v>49</v>
      </c>
      <c r="C54" s="114">
        <f>SUM(C52:C53)</f>
        <v>1331355267</v>
      </c>
      <c r="D54" s="114">
        <f>SUM(D51:D53)</f>
        <v>72584754</v>
      </c>
      <c r="E54" s="114">
        <v>72584754</v>
      </c>
      <c r="F54" s="115"/>
      <c r="G54" s="114">
        <f>SUM(G52:G53)</f>
        <v>0</v>
      </c>
      <c r="H54" s="115"/>
      <c r="I54" s="114">
        <f>SUM(I52:I53)</f>
        <v>1403940021</v>
      </c>
      <c r="J54" s="114">
        <f>SUM(J52:J53)</f>
        <v>252404170.17999467</v>
      </c>
      <c r="K54" s="114">
        <f>SUM(K52:K53)</f>
        <v>1419879425</v>
      </c>
      <c r="L54" s="114">
        <f>I54-K54</f>
        <v>-15939404</v>
      </c>
      <c r="M54" s="117">
        <f t="shared" si="0"/>
        <v>0</v>
      </c>
    </row>
    <row r="55" spans="1:13" s="74" customFormat="1" ht="18" customHeight="1">
      <c r="A55" s="126"/>
      <c r="B55" s="123" t="s">
        <v>6</v>
      </c>
      <c r="C55" s="114">
        <v>949927249</v>
      </c>
      <c r="D55" s="114">
        <f>I55-C55</f>
        <v>42310970</v>
      </c>
      <c r="E55" s="114">
        <v>31198674</v>
      </c>
      <c r="F55" s="115"/>
      <c r="G55" s="114">
        <v>11180787</v>
      </c>
      <c r="H55" s="115"/>
      <c r="I55" s="114">
        <v>992238219</v>
      </c>
      <c r="J55" s="114">
        <v>338409935.37999809</v>
      </c>
      <c r="K55" s="114">
        <v>973819772</v>
      </c>
      <c r="L55" s="114">
        <f>I55-K55</f>
        <v>18418447</v>
      </c>
      <c r="M55" s="117">
        <f>I55-C55-D55</f>
        <v>0</v>
      </c>
    </row>
    <row r="56" spans="1:13" s="69" customFormat="1" ht="18" customHeight="1">
      <c r="A56" s="126"/>
      <c r="B56" s="123" t="s">
        <v>34</v>
      </c>
      <c r="C56" s="114">
        <v>7377750</v>
      </c>
      <c r="D56" s="114">
        <f>I56-C56</f>
        <v>352364</v>
      </c>
      <c r="E56" s="114">
        <v>158695</v>
      </c>
      <c r="F56" s="115"/>
      <c r="G56" s="114">
        <v>193669</v>
      </c>
      <c r="H56" s="115"/>
      <c r="I56" s="114">
        <v>7730114</v>
      </c>
      <c r="J56" s="114">
        <v>2581532.810000001</v>
      </c>
      <c r="K56" s="114">
        <v>7730114</v>
      </c>
      <c r="L56" s="114">
        <f>I56-K56</f>
        <v>0</v>
      </c>
      <c r="M56" s="117">
        <f t="shared" si="0"/>
        <v>0</v>
      </c>
    </row>
    <row r="57" spans="1:13" s="69" customFormat="1" ht="18" customHeight="1">
      <c r="A57" s="118" t="s">
        <v>35</v>
      </c>
      <c r="B57" s="138"/>
      <c r="C57" s="120">
        <f>SUM(C54:C56)</f>
        <v>2288660266</v>
      </c>
      <c r="D57" s="120">
        <f>SUM(D54:D56)</f>
        <v>115248088</v>
      </c>
      <c r="E57" s="120">
        <f>SUM(E54:E56)</f>
        <v>103942123</v>
      </c>
      <c r="F57" s="314"/>
      <c r="G57" s="120">
        <f>SUM(G54:G56)</f>
        <v>11374456</v>
      </c>
      <c r="H57" s="314"/>
      <c r="I57" s="120">
        <f>SUM(I54:I56)</f>
        <v>2403908354</v>
      </c>
      <c r="J57" s="120">
        <f>SUM(J54:J56)</f>
        <v>593395638.36999273</v>
      </c>
      <c r="K57" s="120">
        <f>SUM(K54:K56)</f>
        <v>2401429311</v>
      </c>
      <c r="L57" s="120">
        <f>SUM(L54:L56)</f>
        <v>2479043</v>
      </c>
      <c r="M57" s="117">
        <f>I57-C57-D57</f>
        <v>0</v>
      </c>
    </row>
    <row r="58" spans="1:13" s="69" customFormat="1" ht="18" customHeight="1">
      <c r="A58" s="139"/>
      <c r="B58" s="139"/>
      <c r="C58" s="140"/>
      <c r="D58" s="140"/>
      <c r="E58" s="140"/>
      <c r="F58" s="141"/>
      <c r="G58" s="141"/>
      <c r="H58" s="141"/>
      <c r="I58" s="140"/>
      <c r="J58" s="140"/>
      <c r="K58" s="140"/>
      <c r="L58" s="140"/>
      <c r="M58" s="142"/>
    </row>
    <row r="59" spans="1:13" s="69" customFormat="1" ht="18" customHeight="1">
      <c r="A59" s="145" t="s">
        <v>177</v>
      </c>
      <c r="B59" s="146" t="s">
        <v>551</v>
      </c>
      <c r="C59" s="149"/>
      <c r="D59" s="149"/>
      <c r="E59" s="424"/>
      <c r="F59" s="149"/>
      <c r="G59" s="144"/>
      <c r="H59" s="144"/>
      <c r="I59" s="143"/>
      <c r="J59" s="143"/>
      <c r="K59" s="143"/>
      <c r="L59" s="64"/>
      <c r="M59" s="64"/>
    </row>
    <row r="60" spans="1:13" s="69" customFormat="1" ht="18" customHeight="1">
      <c r="A60" s="145" t="s">
        <v>196</v>
      </c>
      <c r="B60" s="146" t="s">
        <v>523</v>
      </c>
      <c r="C60" s="149"/>
      <c r="D60" s="149"/>
      <c r="E60" s="149"/>
      <c r="F60" s="149"/>
      <c r="G60" s="144"/>
      <c r="H60" s="144"/>
      <c r="I60" s="143"/>
      <c r="J60" s="143"/>
      <c r="K60" s="143"/>
      <c r="L60" s="64"/>
      <c r="M60" s="64"/>
    </row>
    <row r="61" spans="1:13" s="69" customFormat="1" ht="18" customHeight="1">
      <c r="A61" s="145" t="s">
        <v>193</v>
      </c>
      <c r="B61" s="146" t="s">
        <v>524</v>
      </c>
      <c r="C61" s="149"/>
      <c r="D61" s="149"/>
      <c r="E61" s="149"/>
      <c r="F61" s="149"/>
      <c r="G61" s="144"/>
      <c r="H61" s="144"/>
      <c r="I61" s="143"/>
      <c r="J61" s="143"/>
      <c r="K61" s="143"/>
      <c r="L61" s="64"/>
      <c r="M61" s="64"/>
    </row>
    <row r="62" spans="1:13" s="69" customFormat="1" ht="18" customHeight="1">
      <c r="A62" s="145" t="s">
        <v>194</v>
      </c>
      <c r="B62" s="146" t="s">
        <v>542</v>
      </c>
      <c r="C62" s="147"/>
      <c r="D62" s="147"/>
      <c r="E62" s="147"/>
      <c r="F62" s="148"/>
      <c r="G62" s="144"/>
      <c r="H62" s="144"/>
      <c r="I62" s="143"/>
      <c r="J62" s="143"/>
      <c r="K62" s="143"/>
      <c r="L62" s="143"/>
      <c r="M62" s="64"/>
    </row>
    <row r="63" spans="1:13" s="69" customFormat="1" ht="18" customHeight="1">
      <c r="A63" s="145" t="s">
        <v>296</v>
      </c>
      <c r="B63" s="146" t="s">
        <v>543</v>
      </c>
      <c r="C63" s="147"/>
      <c r="D63" s="147"/>
      <c r="E63" s="147"/>
      <c r="F63" s="148"/>
      <c r="G63" s="144"/>
      <c r="H63" s="144"/>
      <c r="I63" s="143"/>
      <c r="J63" s="143"/>
      <c r="K63" s="143"/>
      <c r="L63" s="143"/>
      <c r="M63" s="64"/>
    </row>
    <row r="64" spans="1:13" s="69" customFormat="1" ht="18" customHeight="1">
      <c r="A64" s="145" t="s">
        <v>197</v>
      </c>
      <c r="B64" s="146" t="s">
        <v>544</v>
      </c>
      <c r="C64" s="147"/>
      <c r="D64" s="147"/>
      <c r="E64" s="147"/>
      <c r="F64" s="148"/>
      <c r="G64" s="144"/>
      <c r="H64" s="144"/>
      <c r="I64" s="143"/>
      <c r="J64" s="143"/>
      <c r="K64" s="143"/>
      <c r="L64" s="143"/>
      <c r="M64" s="64"/>
    </row>
    <row r="65" spans="1:13" s="69" customFormat="1" ht="18" customHeight="1">
      <c r="A65" s="145" t="s">
        <v>236</v>
      </c>
      <c r="B65" s="146" t="s">
        <v>545</v>
      </c>
      <c r="C65" s="149"/>
      <c r="D65" s="149"/>
      <c r="E65" s="149"/>
      <c r="F65" s="149"/>
      <c r="G65" s="144"/>
      <c r="H65" s="144"/>
      <c r="I65" s="143"/>
      <c r="J65" s="143"/>
      <c r="K65" s="143"/>
      <c r="L65" s="143"/>
      <c r="M65" s="64"/>
    </row>
    <row r="66" spans="1:13" s="69" customFormat="1" ht="18" customHeight="1">
      <c r="A66" s="145" t="s">
        <v>157</v>
      </c>
      <c r="B66" s="146" t="s">
        <v>578</v>
      </c>
      <c r="C66" s="149"/>
      <c r="D66" s="149"/>
      <c r="E66" s="149"/>
      <c r="F66" s="149"/>
      <c r="G66" s="144"/>
      <c r="H66" s="144"/>
      <c r="I66" s="143"/>
      <c r="J66" s="143"/>
      <c r="K66" s="143"/>
      <c r="L66" s="143"/>
      <c r="M66" s="64"/>
    </row>
    <row r="67" spans="1:13" s="69" customFormat="1" ht="18" customHeight="1">
      <c r="A67" s="145" t="s">
        <v>481</v>
      </c>
      <c r="B67" s="146" t="s">
        <v>483</v>
      </c>
      <c r="C67" s="149"/>
      <c r="D67" s="149"/>
      <c r="E67" s="149"/>
      <c r="F67" s="149"/>
      <c r="G67" s="144"/>
      <c r="H67" s="144"/>
      <c r="I67" s="143"/>
      <c r="J67" s="143"/>
      <c r="K67" s="143"/>
      <c r="L67" s="143"/>
      <c r="M67" s="64"/>
    </row>
    <row r="68" spans="1:13" s="69" customFormat="1" ht="18" customHeight="1">
      <c r="A68" s="145"/>
      <c r="B68" s="146"/>
      <c r="C68" s="149"/>
      <c r="D68" s="149"/>
      <c r="E68" s="149"/>
      <c r="F68" s="149"/>
      <c r="G68" s="144"/>
      <c r="H68" s="144"/>
      <c r="I68" s="143"/>
      <c r="J68" s="143"/>
      <c r="K68" s="143"/>
      <c r="L68" s="143"/>
      <c r="M68" s="64"/>
    </row>
    <row r="69" spans="1:13" s="69" customFormat="1" ht="18" customHeight="1">
      <c r="A69" s="145"/>
      <c r="B69" s="146"/>
      <c r="C69" s="149"/>
      <c r="D69" s="149"/>
      <c r="E69" s="149"/>
      <c r="F69" s="149"/>
      <c r="G69" s="144"/>
      <c r="H69" s="144"/>
      <c r="I69" s="143"/>
      <c r="J69" s="143"/>
      <c r="K69" s="143"/>
      <c r="L69" s="143"/>
      <c r="M69" s="64"/>
    </row>
    <row r="70" spans="1:13" s="69" customFormat="1" ht="18" customHeight="1">
      <c r="A70" s="145"/>
      <c r="B70" s="146"/>
      <c r="C70" s="147"/>
      <c r="D70" s="147"/>
      <c r="E70" s="147"/>
      <c r="F70" s="148"/>
      <c r="G70" s="144"/>
      <c r="H70" s="144"/>
      <c r="I70" s="143"/>
      <c r="J70" s="143"/>
      <c r="K70" s="143"/>
      <c r="L70" s="143"/>
      <c r="M70" s="64"/>
    </row>
    <row r="71" spans="1:13" s="69" customFormat="1" ht="18" customHeight="1">
      <c r="A71" s="145"/>
      <c r="B71" s="146"/>
      <c r="C71" s="147"/>
      <c r="D71" s="147"/>
      <c r="E71" s="147"/>
      <c r="F71" s="148"/>
      <c r="G71" s="144"/>
      <c r="H71" s="144"/>
      <c r="I71" s="143"/>
      <c r="J71" s="143"/>
      <c r="K71" s="143"/>
      <c r="L71" s="143"/>
      <c r="M71" s="64"/>
    </row>
    <row r="72" spans="1:13" s="69" customFormat="1" ht="18" customHeight="1">
      <c r="A72" s="145"/>
      <c r="B72" s="146"/>
      <c r="C72" s="147"/>
      <c r="D72" s="147"/>
      <c r="E72" s="147"/>
      <c r="F72" s="148"/>
      <c r="G72" s="144"/>
      <c r="H72" s="144"/>
      <c r="I72" s="143"/>
      <c r="J72" s="143"/>
      <c r="K72" s="143"/>
      <c r="L72" s="143"/>
      <c r="M72" s="64"/>
    </row>
    <row r="73" spans="1:13" s="69" customFormat="1" ht="18" customHeight="1">
      <c r="A73" s="145"/>
      <c r="B73" s="146"/>
      <c r="C73" s="147"/>
      <c r="D73" s="147"/>
      <c r="E73" s="147"/>
      <c r="F73" s="148"/>
      <c r="G73" s="144"/>
      <c r="H73" s="144"/>
      <c r="I73" s="143"/>
      <c r="J73" s="143"/>
      <c r="K73" s="143"/>
      <c r="L73" s="143"/>
      <c r="M73" s="64"/>
    </row>
    <row r="74" spans="1:13" s="69" customFormat="1" ht="18" customHeight="1">
      <c r="A74" s="448"/>
      <c r="B74" s="146"/>
      <c r="C74" s="147"/>
      <c r="D74" s="147"/>
      <c r="E74" s="147"/>
      <c r="F74" s="148"/>
      <c r="G74" s="144"/>
      <c r="H74" s="144"/>
      <c r="I74" s="143"/>
      <c r="J74" s="143"/>
      <c r="K74" s="143"/>
      <c r="L74" s="143"/>
      <c r="M74" s="64"/>
    </row>
    <row r="75" spans="1:13" s="69" customFormat="1" ht="18" customHeight="1">
      <c r="A75" s="145"/>
      <c r="B75" s="146"/>
      <c r="C75" s="147"/>
      <c r="D75" s="147"/>
      <c r="E75" s="147"/>
      <c r="F75" s="148"/>
      <c r="G75" s="144"/>
      <c r="H75" s="144"/>
      <c r="I75" s="143"/>
      <c r="J75" s="143"/>
      <c r="K75" s="143"/>
      <c r="L75" s="143"/>
      <c r="M75" s="64"/>
    </row>
    <row r="76" spans="1:13" s="69" customFormat="1" ht="18" customHeight="1">
      <c r="A76" s="145"/>
      <c r="B76" s="146"/>
      <c r="C76" s="76"/>
      <c r="D76" s="76"/>
      <c r="E76" s="76"/>
      <c r="F76" s="77"/>
      <c r="G76" s="77"/>
      <c r="H76" s="77"/>
      <c r="I76" s="76"/>
      <c r="J76" s="76"/>
      <c r="K76" s="76"/>
      <c r="L76" s="76"/>
      <c r="M76" s="68"/>
    </row>
    <row r="77" spans="1:13" s="69" customFormat="1" ht="18" customHeight="1">
      <c r="A77" s="145"/>
      <c r="B77" s="146"/>
      <c r="C77" s="76"/>
      <c r="D77" s="76"/>
      <c r="E77" s="76"/>
      <c r="F77" s="77"/>
      <c r="G77" s="77"/>
      <c r="H77" s="77"/>
      <c r="I77" s="76"/>
      <c r="J77" s="76"/>
      <c r="K77" s="76"/>
      <c r="L77" s="76"/>
      <c r="M77" s="68"/>
    </row>
    <row r="78" spans="1:13" s="69" customFormat="1" ht="18" customHeight="1">
      <c r="A78" s="386"/>
      <c r="B78" s="146"/>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ht="18" customHeight="1">
      <c r="A100" s="69"/>
      <c r="B100" s="69"/>
      <c r="C100" s="76"/>
      <c r="D100" s="76"/>
      <c r="E100" s="76"/>
      <c r="F100" s="77"/>
      <c r="G100" s="77"/>
      <c r="H100" s="77"/>
      <c r="I100" s="76"/>
      <c r="J100" s="76"/>
      <c r="K100" s="76"/>
      <c r="L100" s="76"/>
      <c r="M100" s="68"/>
    </row>
    <row r="101" spans="1:13" ht="18" customHeight="1">
      <c r="A101" s="69"/>
      <c r="B101" s="69"/>
      <c r="C101" s="76"/>
      <c r="D101" s="76"/>
      <c r="E101" s="76"/>
      <c r="F101" s="77"/>
      <c r="G101" s="77"/>
      <c r="H101" s="77"/>
      <c r="I101" s="76"/>
      <c r="J101" s="76"/>
      <c r="K101" s="76"/>
      <c r="L101" s="76"/>
      <c r="M101" s="68"/>
    </row>
    <row r="102" spans="1:13" ht="18" customHeight="1">
      <c r="A102" s="69"/>
      <c r="B102" s="69"/>
      <c r="C102" s="76"/>
      <c r="D102" s="76"/>
      <c r="E102" s="76"/>
      <c r="F102" s="77"/>
      <c r="G102" s="77"/>
      <c r="H102" s="77"/>
      <c r="I102" s="76"/>
      <c r="J102" s="76"/>
      <c r="K102" s="76"/>
      <c r="L102" s="76"/>
      <c r="M102" s="68"/>
    </row>
  </sheetData>
  <mergeCells count="3">
    <mergeCell ref="A1:L1"/>
    <mergeCell ref="A2:L2"/>
    <mergeCell ref="A3:L3"/>
  </mergeCells>
  <phoneticPr fontId="11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58"/>
  <sheetViews>
    <sheetView zoomScale="55" zoomScaleNormal="55" workbookViewId="0">
      <pane xSplit="2" ySplit="6" topLeftCell="C7" activePane="bottomRight" state="frozen"/>
      <selection activeCell="AM66" sqref="AM66"/>
      <selection pane="topRight" activeCell="AM66" sqref="AM66"/>
      <selection pane="bottomLeft" activeCell="AM66" sqref="AM66"/>
      <selection pane="bottomRight" activeCell="B11" sqref="B11"/>
    </sheetView>
  </sheetViews>
  <sheetFormatPr defaultColWidth="9.109375" defaultRowHeight="15.6"/>
  <cols>
    <col min="1" max="1" width="14.88671875" style="293"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70" t="s">
        <v>198</v>
      </c>
      <c r="B1" s="271"/>
      <c r="C1" s="27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271"/>
      <c r="AE1" s="271"/>
      <c r="AF1" s="271"/>
      <c r="AG1" s="271"/>
      <c r="AH1" s="271"/>
      <c r="AI1" s="271"/>
      <c r="AJ1" s="271"/>
      <c r="AK1" s="271"/>
      <c r="AL1" s="271"/>
      <c r="AM1" s="271"/>
      <c r="AN1" s="271"/>
      <c r="AO1" s="271"/>
      <c r="AP1" s="271"/>
      <c r="AQ1" s="271"/>
      <c r="AR1" s="271"/>
      <c r="AS1" s="271"/>
      <c r="AT1" s="271"/>
      <c r="AU1" s="271"/>
    </row>
    <row r="2" spans="1:47">
      <c r="A2" s="270" t="s">
        <v>499</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c r="AF2" s="271"/>
      <c r="AG2" s="271"/>
      <c r="AH2" s="271"/>
      <c r="AI2" s="271"/>
      <c r="AJ2" s="271"/>
      <c r="AK2" s="271"/>
      <c r="AL2" s="271"/>
      <c r="AM2" s="271"/>
      <c r="AN2" s="271"/>
      <c r="AO2" s="271"/>
      <c r="AP2" s="271"/>
      <c r="AQ2" s="271"/>
      <c r="AR2" s="271"/>
      <c r="AS2" s="271"/>
      <c r="AT2" s="271"/>
      <c r="AU2" s="271"/>
    </row>
    <row r="3" spans="1:47" ht="16.2" thickBot="1">
      <c r="A3" s="272" t="s">
        <v>604</v>
      </c>
      <c r="B3" s="273"/>
      <c r="C3" s="274"/>
      <c r="D3" s="274"/>
      <c r="E3" s="274"/>
      <c r="F3" s="274"/>
      <c r="G3" s="274"/>
      <c r="H3" s="274"/>
      <c r="I3" s="274"/>
      <c r="J3" s="274"/>
      <c r="K3" s="274"/>
      <c r="L3" s="274"/>
      <c r="M3" s="274"/>
      <c r="N3" s="274"/>
      <c r="O3" s="274"/>
      <c r="P3" s="274"/>
      <c r="Q3" s="274"/>
      <c r="R3" s="274"/>
      <c r="S3" s="274"/>
      <c r="T3" s="274"/>
      <c r="U3" s="274"/>
      <c r="V3" s="274"/>
      <c r="W3" s="274"/>
      <c r="X3" s="274"/>
      <c r="Y3" s="274"/>
      <c r="Z3" s="274"/>
      <c r="AA3" s="274"/>
      <c r="AB3" s="274"/>
      <c r="AC3" s="274"/>
      <c r="AD3" s="273"/>
      <c r="AE3" s="273"/>
      <c r="AF3" s="273"/>
      <c r="AG3" s="273"/>
      <c r="AH3" s="273"/>
      <c r="AI3" s="273"/>
      <c r="AJ3" s="273"/>
      <c r="AK3" s="273"/>
      <c r="AL3" s="273"/>
      <c r="AM3" s="273"/>
      <c r="AN3" s="273"/>
      <c r="AO3" s="273"/>
      <c r="AP3" s="273"/>
      <c r="AQ3" s="273"/>
      <c r="AR3" s="273"/>
      <c r="AS3" s="273"/>
      <c r="AT3" s="273"/>
      <c r="AU3" s="273"/>
    </row>
    <row r="4" spans="1:47">
      <c r="A4" s="607"/>
      <c r="B4" s="608"/>
      <c r="C4" s="275" t="s">
        <v>22</v>
      </c>
      <c r="D4" s="276" t="s">
        <v>23</v>
      </c>
      <c r="E4" s="276" t="s">
        <v>24</v>
      </c>
      <c r="F4" s="276" t="s">
        <v>25</v>
      </c>
      <c r="G4" s="276" t="s">
        <v>26</v>
      </c>
      <c r="H4" s="276" t="s">
        <v>27</v>
      </c>
      <c r="I4" s="276" t="s">
        <v>100</v>
      </c>
      <c r="J4" s="276" t="s">
        <v>101</v>
      </c>
      <c r="K4" s="276" t="s">
        <v>102</v>
      </c>
      <c r="L4" s="276" t="s">
        <v>103</v>
      </c>
      <c r="M4" s="276" t="s">
        <v>104</v>
      </c>
      <c r="N4" s="276" t="s">
        <v>105</v>
      </c>
      <c r="O4" s="276" t="s">
        <v>28</v>
      </c>
      <c r="P4" s="276" t="s">
        <v>106</v>
      </c>
      <c r="Q4" s="276" t="s">
        <v>107</v>
      </c>
      <c r="R4" s="276" t="s">
        <v>93</v>
      </c>
      <c r="S4" s="276" t="s">
        <v>94</v>
      </c>
      <c r="T4" s="276" t="s">
        <v>108</v>
      </c>
      <c r="U4" s="277" t="s">
        <v>95</v>
      </c>
      <c r="V4" s="277" t="s">
        <v>96</v>
      </c>
      <c r="W4" s="277" t="s">
        <v>97</v>
      </c>
      <c r="X4" s="277" t="s">
        <v>98</v>
      </c>
      <c r="Y4" s="277" t="s">
        <v>252</v>
      </c>
      <c r="Z4" s="277" t="s">
        <v>253</v>
      </c>
      <c r="AA4" s="277" t="s">
        <v>254</v>
      </c>
      <c r="AB4" s="276" t="s">
        <v>99</v>
      </c>
      <c r="AC4" s="276" t="s">
        <v>525</v>
      </c>
      <c r="AD4" s="278" t="s">
        <v>151</v>
      </c>
    </row>
    <row r="5" spans="1:47" ht="47.4" thickBot="1">
      <c r="A5" s="609" t="s">
        <v>0</v>
      </c>
      <c r="B5" s="610"/>
      <c r="C5" s="279" t="s">
        <v>263</v>
      </c>
      <c r="D5" s="280" t="s">
        <v>264</v>
      </c>
      <c r="E5" s="280" t="s">
        <v>265</v>
      </c>
      <c r="F5" s="281" t="s">
        <v>266</v>
      </c>
      <c r="G5" s="281" t="s">
        <v>267</v>
      </c>
      <c r="H5" s="281" t="s">
        <v>268</v>
      </c>
      <c r="I5" s="281" t="s">
        <v>269</v>
      </c>
      <c r="J5" s="281" t="s">
        <v>270</v>
      </c>
      <c r="K5" s="281" t="s">
        <v>271</v>
      </c>
      <c r="L5" s="281" t="s">
        <v>272</v>
      </c>
      <c r="M5" s="281" t="s">
        <v>273</v>
      </c>
      <c r="N5" s="281" t="s">
        <v>274</v>
      </c>
      <c r="O5" s="281" t="s">
        <v>275</v>
      </c>
      <c r="P5" s="281" t="s">
        <v>276</v>
      </c>
      <c r="Q5" s="281" t="s">
        <v>277</v>
      </c>
      <c r="R5" s="281" t="s">
        <v>278</v>
      </c>
      <c r="S5" s="281" t="s">
        <v>279</v>
      </c>
      <c r="T5" s="281" t="s">
        <v>280</v>
      </c>
      <c r="U5" s="282" t="s">
        <v>281</v>
      </c>
      <c r="V5" s="282" t="s">
        <v>282</v>
      </c>
      <c r="W5" s="282" t="s">
        <v>283</v>
      </c>
      <c r="X5" s="282" t="s">
        <v>284</v>
      </c>
      <c r="Y5" s="282" t="s">
        <v>285</v>
      </c>
      <c r="Z5" s="282" t="s">
        <v>286</v>
      </c>
      <c r="AA5" s="282" t="s">
        <v>287</v>
      </c>
      <c r="AB5" s="281" t="s">
        <v>178</v>
      </c>
      <c r="AC5" s="281" t="s">
        <v>526</v>
      </c>
      <c r="AD5" s="283"/>
    </row>
    <row r="6" spans="1:47" ht="16.2" thickBot="1">
      <c r="A6" s="456"/>
      <c r="B6" s="284" t="s">
        <v>497</v>
      </c>
      <c r="C6" s="457">
        <v>30040791</v>
      </c>
      <c r="D6" s="457">
        <v>838865626</v>
      </c>
      <c r="E6" s="457">
        <v>76264000</v>
      </c>
      <c r="F6" s="457">
        <v>60456246</v>
      </c>
      <c r="G6" s="457">
        <v>12267559</v>
      </c>
      <c r="H6" s="457">
        <v>6415701</v>
      </c>
      <c r="I6" s="457">
        <v>9699710</v>
      </c>
      <c r="J6" s="457">
        <v>13597190</v>
      </c>
      <c r="K6" s="457">
        <v>37901842</v>
      </c>
      <c r="L6" s="457">
        <v>562747488</v>
      </c>
      <c r="M6" s="457">
        <v>314739184</v>
      </c>
      <c r="N6" s="457">
        <v>24670997</v>
      </c>
      <c r="O6" s="457">
        <v>24412360</v>
      </c>
      <c r="P6" s="457">
        <v>8922558</v>
      </c>
      <c r="Q6" s="457">
        <v>4548914</v>
      </c>
      <c r="R6" s="457">
        <v>30164830</v>
      </c>
      <c r="S6" s="457">
        <v>36839903</v>
      </c>
      <c r="T6" s="457">
        <v>7549456</v>
      </c>
      <c r="U6" s="457">
        <v>56126600</v>
      </c>
      <c r="V6" s="457">
        <v>4221275</v>
      </c>
      <c r="W6" s="457">
        <v>9399818</v>
      </c>
      <c r="X6" s="457">
        <v>29181784</v>
      </c>
      <c r="Y6" s="457">
        <v>15048297</v>
      </c>
      <c r="Z6" s="457">
        <v>1220912</v>
      </c>
      <c r="AA6" s="457">
        <v>46183074</v>
      </c>
      <c r="AB6" s="457">
        <v>27174151</v>
      </c>
      <c r="AC6" s="457">
        <v>0</v>
      </c>
      <c r="AD6" s="458">
        <f>SUM(C6:AC6)</f>
        <v>2288660266</v>
      </c>
      <c r="AF6" s="84"/>
    </row>
    <row r="7" spans="1:47">
      <c r="A7" s="374" t="s">
        <v>177</v>
      </c>
      <c r="B7" s="642" t="s">
        <v>551</v>
      </c>
      <c r="C7" s="285">
        <v>0</v>
      </c>
      <c r="D7" s="285">
        <v>0</v>
      </c>
      <c r="E7" s="285">
        <v>0</v>
      </c>
      <c r="F7" s="285">
        <v>0</v>
      </c>
      <c r="G7" s="285">
        <v>0</v>
      </c>
      <c r="H7" s="285">
        <v>0</v>
      </c>
      <c r="I7" s="285">
        <v>0</v>
      </c>
      <c r="J7" s="285">
        <v>0</v>
      </c>
      <c r="K7" s="285">
        <v>0</v>
      </c>
      <c r="L7" s="285">
        <v>55000000</v>
      </c>
      <c r="M7" s="285">
        <v>0</v>
      </c>
      <c r="N7" s="285">
        <v>0</v>
      </c>
      <c r="O7" s="285">
        <v>0</v>
      </c>
      <c r="P7" s="285">
        <v>0</v>
      </c>
      <c r="Q7" s="285">
        <v>0</v>
      </c>
      <c r="R7" s="285">
        <v>0</v>
      </c>
      <c r="S7" s="285">
        <v>0</v>
      </c>
      <c r="T7" s="285">
        <v>0</v>
      </c>
      <c r="U7" s="285">
        <v>0</v>
      </c>
      <c r="V7" s="285">
        <v>0</v>
      </c>
      <c r="W7" s="285">
        <v>0</v>
      </c>
      <c r="X7" s="285">
        <v>0</v>
      </c>
      <c r="Y7" s="285">
        <v>0</v>
      </c>
      <c r="Z7" s="285">
        <v>0</v>
      </c>
      <c r="AA7" s="285">
        <v>0</v>
      </c>
      <c r="AB7" s="285">
        <v>0</v>
      </c>
      <c r="AC7" s="285">
        <v>0</v>
      </c>
      <c r="AD7" s="286">
        <f t="shared" ref="AD7" si="0">SUM(C7:AC7)</f>
        <v>55000000</v>
      </c>
      <c r="AF7" s="84"/>
    </row>
    <row r="8" spans="1:47">
      <c r="A8" s="372" t="s">
        <v>196</v>
      </c>
      <c r="B8" s="287" t="s">
        <v>523</v>
      </c>
      <c r="C8" s="285">
        <v>-69990</v>
      </c>
      <c r="D8" s="285">
        <v>-6360765</v>
      </c>
      <c r="E8" s="285">
        <v>476335</v>
      </c>
      <c r="F8" s="285">
        <v>106934</v>
      </c>
      <c r="G8" s="285">
        <v>0</v>
      </c>
      <c r="H8" s="285">
        <v>0</v>
      </c>
      <c r="I8" s="285">
        <v>0</v>
      </c>
      <c r="J8" s="285">
        <v>0</v>
      </c>
      <c r="K8" s="285">
        <v>0</v>
      </c>
      <c r="L8" s="285">
        <v>2101106</v>
      </c>
      <c r="M8" s="285">
        <v>5563153</v>
      </c>
      <c r="N8" s="285">
        <v>0</v>
      </c>
      <c r="O8" s="285">
        <v>0</v>
      </c>
      <c r="P8" s="285">
        <v>0</v>
      </c>
      <c r="Q8" s="285">
        <v>0</v>
      </c>
      <c r="R8" s="285">
        <v>0</v>
      </c>
      <c r="S8" s="285">
        <v>0</v>
      </c>
      <c r="T8" s="285">
        <v>0</v>
      </c>
      <c r="U8" s="285">
        <v>287880</v>
      </c>
      <c r="V8" s="285">
        <v>13981</v>
      </c>
      <c r="W8" s="285">
        <v>0</v>
      </c>
      <c r="X8" s="285">
        <v>-177124</v>
      </c>
      <c r="Y8" s="285">
        <v>-92424</v>
      </c>
      <c r="Z8" s="285">
        <v>-7048</v>
      </c>
      <c r="AA8" s="285">
        <v>-173166</v>
      </c>
      <c r="AB8" s="285">
        <v>-220358</v>
      </c>
      <c r="AC8" s="285" t="s">
        <v>470</v>
      </c>
      <c r="AD8" s="286">
        <f t="shared" ref="AD8:AD15" si="1">SUM(C8:AC8)</f>
        <v>1448514</v>
      </c>
    </row>
    <row r="9" spans="1:47">
      <c r="A9" s="373" t="s">
        <v>193</v>
      </c>
      <c r="B9" s="287" t="s">
        <v>524</v>
      </c>
      <c r="C9" s="285">
        <v>0</v>
      </c>
      <c r="D9" s="285">
        <v>3873</v>
      </c>
      <c r="E9" s="285">
        <v>2357277</v>
      </c>
      <c r="F9" s="285">
        <v>0</v>
      </c>
      <c r="G9" s="285">
        <v>0</v>
      </c>
      <c r="H9" s="285">
        <v>0</v>
      </c>
      <c r="I9" s="285">
        <v>14511707</v>
      </c>
      <c r="J9" s="285">
        <v>0</v>
      </c>
      <c r="K9" s="285">
        <v>361758</v>
      </c>
      <c r="L9" s="285">
        <v>0</v>
      </c>
      <c r="M9" s="285">
        <v>0</v>
      </c>
      <c r="N9" s="285">
        <v>0</v>
      </c>
      <c r="O9" s="285">
        <v>1706261</v>
      </c>
      <c r="P9" s="285">
        <v>1000000</v>
      </c>
      <c r="Q9" s="285">
        <v>364627</v>
      </c>
      <c r="R9" s="285">
        <v>1787000</v>
      </c>
      <c r="S9" s="285">
        <v>5548611</v>
      </c>
      <c r="T9" s="285">
        <v>1286135</v>
      </c>
      <c r="U9" s="285">
        <v>4686171</v>
      </c>
      <c r="V9" s="285">
        <v>5179031</v>
      </c>
      <c r="W9" s="285">
        <v>0</v>
      </c>
      <c r="X9" s="285">
        <v>0</v>
      </c>
      <c r="Y9" s="285">
        <v>0</v>
      </c>
      <c r="Z9" s="285">
        <v>0</v>
      </c>
      <c r="AA9" s="285">
        <v>1518904</v>
      </c>
      <c r="AB9" s="285">
        <v>0</v>
      </c>
      <c r="AC9" s="285">
        <v>0</v>
      </c>
      <c r="AD9" s="286">
        <f t="shared" si="1"/>
        <v>40311355</v>
      </c>
    </row>
    <row r="10" spans="1:47">
      <c r="A10" s="643" t="s">
        <v>194</v>
      </c>
      <c r="B10" s="287" t="s">
        <v>542</v>
      </c>
      <c r="C10" s="285">
        <v>0</v>
      </c>
      <c r="D10" s="285">
        <v>-381366</v>
      </c>
      <c r="E10" s="285">
        <v>615700</v>
      </c>
      <c r="F10" s="285">
        <v>0</v>
      </c>
      <c r="G10" s="285">
        <v>0</v>
      </c>
      <c r="H10" s="285">
        <v>0</v>
      </c>
      <c r="I10" s="285">
        <v>0</v>
      </c>
      <c r="J10" s="285">
        <v>0</v>
      </c>
      <c r="K10" s="285">
        <v>0</v>
      </c>
      <c r="L10" s="285">
        <v>0</v>
      </c>
      <c r="M10" s="285">
        <v>0</v>
      </c>
      <c r="N10" s="285">
        <v>0</v>
      </c>
      <c r="O10" s="285">
        <v>0</v>
      </c>
      <c r="P10" s="285">
        <v>0</v>
      </c>
      <c r="Q10" s="285">
        <v>0</v>
      </c>
      <c r="R10" s="285">
        <v>100000</v>
      </c>
      <c r="S10" s="285">
        <v>0</v>
      </c>
      <c r="T10" s="285">
        <v>0</v>
      </c>
      <c r="U10" s="285">
        <v>-6326</v>
      </c>
      <c r="V10" s="285">
        <v>0</v>
      </c>
      <c r="W10" s="285">
        <v>0</v>
      </c>
      <c r="X10" s="285">
        <v>0</v>
      </c>
      <c r="Y10" s="285">
        <v>0</v>
      </c>
      <c r="Z10" s="285">
        <v>0</v>
      </c>
      <c r="AA10" s="285">
        <v>0</v>
      </c>
      <c r="AB10" s="285">
        <v>0</v>
      </c>
      <c r="AC10" s="285">
        <v>0</v>
      </c>
      <c r="AD10" s="286">
        <f t="shared" si="1"/>
        <v>328008</v>
      </c>
    </row>
    <row r="11" spans="1:47">
      <c r="A11" s="468" t="s">
        <v>157</v>
      </c>
      <c r="B11" s="641" t="s">
        <v>578</v>
      </c>
      <c r="C11" s="285">
        <v>0</v>
      </c>
      <c r="D11" s="285">
        <v>0</v>
      </c>
      <c r="E11" s="285">
        <v>0</v>
      </c>
      <c r="F11" s="285">
        <v>0</v>
      </c>
      <c r="G11" s="285">
        <v>0</v>
      </c>
      <c r="H11" s="285">
        <v>0</v>
      </c>
      <c r="I11" s="285">
        <v>24356</v>
      </c>
      <c r="J11" s="285">
        <v>0</v>
      </c>
      <c r="K11" s="285">
        <v>0</v>
      </c>
      <c r="L11" s="285">
        <v>0</v>
      </c>
      <c r="M11" s="285">
        <v>0</v>
      </c>
      <c r="N11" s="285">
        <v>0</v>
      </c>
      <c r="O11" s="285">
        <v>0</v>
      </c>
      <c r="P11" s="285">
        <v>0</v>
      </c>
      <c r="Q11" s="285">
        <v>0</v>
      </c>
      <c r="R11" s="285">
        <v>0</v>
      </c>
      <c r="S11" s="285">
        <v>0</v>
      </c>
      <c r="T11" s="285">
        <v>0</v>
      </c>
      <c r="U11" s="285">
        <v>0</v>
      </c>
      <c r="V11" s="285">
        <v>0</v>
      </c>
      <c r="W11" s="285">
        <v>0</v>
      </c>
      <c r="X11" s="285">
        <v>0</v>
      </c>
      <c r="Y11" s="285">
        <v>0</v>
      </c>
      <c r="Z11" s="285">
        <v>0</v>
      </c>
      <c r="AA11" s="285">
        <v>0</v>
      </c>
      <c r="AB11" s="285">
        <v>0</v>
      </c>
      <c r="AC11" s="285">
        <v>0</v>
      </c>
      <c r="AD11" s="286">
        <f t="shared" ref="AD11" si="2">SUM(C11:AC11)</f>
        <v>24356</v>
      </c>
    </row>
    <row r="12" spans="1:47">
      <c r="A12" s="643" t="s">
        <v>296</v>
      </c>
      <c r="B12" s="287" t="s">
        <v>543</v>
      </c>
      <c r="C12" s="285">
        <v>0</v>
      </c>
      <c r="D12" s="285">
        <v>-6420679</v>
      </c>
      <c r="E12" s="285">
        <v>-1268891</v>
      </c>
      <c r="F12" s="285">
        <v>0</v>
      </c>
      <c r="G12" s="285">
        <v>0</v>
      </c>
      <c r="H12" s="285">
        <v>0</v>
      </c>
      <c r="I12" s="285">
        <v>0</v>
      </c>
      <c r="J12" s="285">
        <v>0</v>
      </c>
      <c r="K12" s="285">
        <v>0</v>
      </c>
      <c r="L12" s="285">
        <v>12077270</v>
      </c>
      <c r="M12" s="285">
        <v>0</v>
      </c>
      <c r="N12" s="285">
        <v>0</v>
      </c>
      <c r="O12" s="285">
        <v>0</v>
      </c>
      <c r="P12" s="285">
        <v>0</v>
      </c>
      <c r="Q12" s="285">
        <v>0</v>
      </c>
      <c r="R12" s="285">
        <v>0</v>
      </c>
      <c r="S12" s="285">
        <v>0</v>
      </c>
      <c r="T12" s="285">
        <v>0</v>
      </c>
      <c r="U12" s="285">
        <v>0</v>
      </c>
      <c r="V12" s="285">
        <v>0</v>
      </c>
      <c r="W12" s="285">
        <v>0</v>
      </c>
      <c r="X12" s="285">
        <v>0</v>
      </c>
      <c r="Y12" s="285">
        <v>0</v>
      </c>
      <c r="Z12" s="285">
        <v>0</v>
      </c>
      <c r="AA12" s="285">
        <v>0</v>
      </c>
      <c r="AB12" s="285">
        <v>0</v>
      </c>
      <c r="AC12" s="285">
        <v>7689570</v>
      </c>
      <c r="AD12" s="286">
        <f t="shared" si="1"/>
        <v>12077270</v>
      </c>
    </row>
    <row r="13" spans="1:47" ht="31.2">
      <c r="A13" s="374" t="s">
        <v>197</v>
      </c>
      <c r="B13" s="287" t="s">
        <v>544</v>
      </c>
      <c r="C13" s="285">
        <v>0</v>
      </c>
      <c r="D13" s="285">
        <v>0</v>
      </c>
      <c r="E13" s="285">
        <v>354625</v>
      </c>
      <c r="F13" s="285">
        <v>0</v>
      </c>
      <c r="G13" s="285">
        <v>0</v>
      </c>
      <c r="H13" s="285">
        <v>0</v>
      </c>
      <c r="I13" s="285">
        <v>0</v>
      </c>
      <c r="J13" s="285">
        <v>0</v>
      </c>
      <c r="K13" s="285">
        <v>0</v>
      </c>
      <c r="L13" s="285">
        <v>0</v>
      </c>
      <c r="M13" s="285">
        <v>0</v>
      </c>
      <c r="N13" s="285">
        <v>0</v>
      </c>
      <c r="O13" s="285">
        <v>0</v>
      </c>
      <c r="P13" s="285">
        <v>0</v>
      </c>
      <c r="Q13" s="285">
        <v>0</v>
      </c>
      <c r="R13" s="285">
        <v>0</v>
      </c>
      <c r="S13" s="285">
        <v>0</v>
      </c>
      <c r="T13" s="285">
        <v>0</v>
      </c>
      <c r="U13" s="285">
        <v>0</v>
      </c>
      <c r="V13" s="285">
        <v>0</v>
      </c>
      <c r="W13" s="285">
        <v>0</v>
      </c>
      <c r="X13" s="285">
        <v>0</v>
      </c>
      <c r="Y13" s="285">
        <v>0</v>
      </c>
      <c r="Z13" s="285">
        <v>0</v>
      </c>
      <c r="AA13" s="285">
        <v>0</v>
      </c>
      <c r="AB13" s="285">
        <v>0</v>
      </c>
      <c r="AC13" s="285">
        <v>0</v>
      </c>
      <c r="AD13" s="286">
        <f t="shared" si="1"/>
        <v>354625</v>
      </c>
    </row>
    <row r="14" spans="1:47">
      <c r="A14" s="374" t="s">
        <v>236</v>
      </c>
      <c r="B14" s="287" t="s">
        <v>545</v>
      </c>
      <c r="C14" s="285">
        <v>0</v>
      </c>
      <c r="D14" s="285">
        <v>0</v>
      </c>
      <c r="E14" s="285">
        <v>60000</v>
      </c>
      <c r="F14" s="285">
        <v>0</v>
      </c>
      <c r="G14" s="285">
        <v>0</v>
      </c>
      <c r="H14" s="285">
        <v>0</v>
      </c>
      <c r="I14" s="285">
        <v>0</v>
      </c>
      <c r="J14" s="285">
        <v>0</v>
      </c>
      <c r="K14" s="285">
        <v>0</v>
      </c>
      <c r="L14" s="285">
        <v>0</v>
      </c>
      <c r="M14" s="285">
        <v>0</v>
      </c>
      <c r="N14" s="285">
        <v>0</v>
      </c>
      <c r="O14" s="285">
        <v>0</v>
      </c>
      <c r="P14" s="285">
        <v>0</v>
      </c>
      <c r="Q14" s="285">
        <v>0</v>
      </c>
      <c r="R14" s="285">
        <v>0</v>
      </c>
      <c r="S14" s="285">
        <v>0</v>
      </c>
      <c r="T14" s="285">
        <v>0</v>
      </c>
      <c r="U14" s="285">
        <v>0</v>
      </c>
      <c r="V14" s="285">
        <v>0</v>
      </c>
      <c r="W14" s="285">
        <v>0</v>
      </c>
      <c r="X14" s="285">
        <v>0</v>
      </c>
      <c r="Y14" s="285">
        <v>0</v>
      </c>
      <c r="Z14" s="285">
        <v>0</v>
      </c>
      <c r="AA14" s="285">
        <v>0</v>
      </c>
      <c r="AB14" s="285">
        <v>0</v>
      </c>
      <c r="AC14" s="285">
        <v>0</v>
      </c>
      <c r="AD14" s="286">
        <f t="shared" si="1"/>
        <v>60000</v>
      </c>
    </row>
    <row r="15" spans="1:47">
      <c r="A15" s="374" t="s">
        <v>481</v>
      </c>
      <c r="B15" s="287" t="s">
        <v>483</v>
      </c>
      <c r="C15" s="285">
        <v>0</v>
      </c>
      <c r="D15" s="285">
        <v>0</v>
      </c>
      <c r="E15" s="285">
        <v>0</v>
      </c>
      <c r="F15" s="285">
        <v>0</v>
      </c>
      <c r="G15" s="285">
        <v>0</v>
      </c>
      <c r="H15" s="285">
        <v>0</v>
      </c>
      <c r="I15" s="285">
        <v>0</v>
      </c>
      <c r="J15" s="285">
        <v>0</v>
      </c>
      <c r="K15" s="285">
        <v>0</v>
      </c>
      <c r="L15" s="285">
        <v>0</v>
      </c>
      <c r="M15" s="285">
        <v>0</v>
      </c>
      <c r="N15" s="285">
        <v>0</v>
      </c>
      <c r="O15" s="285">
        <v>0</v>
      </c>
      <c r="P15" s="285">
        <v>0</v>
      </c>
      <c r="Q15" s="285">
        <v>0</v>
      </c>
      <c r="R15" s="285">
        <v>0</v>
      </c>
      <c r="S15" s="285">
        <v>0</v>
      </c>
      <c r="T15" s="285">
        <v>0</v>
      </c>
      <c r="U15" s="285">
        <v>0</v>
      </c>
      <c r="V15" s="285">
        <v>0</v>
      </c>
      <c r="W15" s="285">
        <v>0</v>
      </c>
      <c r="X15" s="285">
        <v>0</v>
      </c>
      <c r="Y15" s="285">
        <v>0</v>
      </c>
      <c r="Z15" s="285">
        <v>0</v>
      </c>
      <c r="AA15" s="285">
        <v>0</v>
      </c>
      <c r="AB15" s="285">
        <v>5643960</v>
      </c>
      <c r="AC15" s="285">
        <v>0</v>
      </c>
      <c r="AD15" s="286">
        <f t="shared" si="1"/>
        <v>5643960</v>
      </c>
    </row>
    <row r="16" spans="1:47" ht="15.6" customHeight="1">
      <c r="A16" s="378"/>
      <c r="B16" s="379"/>
      <c r="C16" s="380"/>
      <c r="D16" s="380"/>
      <c r="E16" s="380"/>
      <c r="F16" s="380"/>
      <c r="G16" s="380"/>
      <c r="H16" s="380"/>
      <c r="I16" s="380"/>
      <c r="J16" s="380"/>
      <c r="K16" s="380"/>
      <c r="L16" s="380"/>
      <c r="M16" s="380"/>
      <c r="N16" s="380"/>
      <c r="O16" s="380"/>
      <c r="P16" s="380"/>
      <c r="Q16" s="380"/>
      <c r="R16" s="380"/>
      <c r="S16" s="380"/>
      <c r="T16" s="380"/>
      <c r="U16" s="380"/>
      <c r="V16" s="380"/>
      <c r="W16" s="380"/>
      <c r="X16" s="380"/>
      <c r="Y16" s="380"/>
      <c r="Z16" s="380"/>
      <c r="AA16" s="380"/>
      <c r="AB16" s="380"/>
      <c r="AC16" s="454"/>
      <c r="AD16" s="381"/>
    </row>
    <row r="17" spans="1:34" ht="16.2" thickBot="1">
      <c r="A17" s="358"/>
      <c r="B17" s="359" t="s">
        <v>145</v>
      </c>
      <c r="C17" s="360">
        <f>SUM(C7:C16)</f>
        <v>-69990</v>
      </c>
      <c r="D17" s="360">
        <f>SUM(D7:D16)</f>
        <v>-13158937</v>
      </c>
      <c r="E17" s="360">
        <f>SUM(E7:E16)</f>
        <v>2595046</v>
      </c>
      <c r="F17" s="360">
        <f>SUM(F7:F16)</f>
        <v>106934</v>
      </c>
      <c r="G17" s="360">
        <f>SUM(G7:G16)</f>
        <v>0</v>
      </c>
      <c r="H17" s="360">
        <f>SUM(H7:H16)</f>
        <v>0</v>
      </c>
      <c r="I17" s="360">
        <f>SUM(I7:I16)</f>
        <v>14536063</v>
      </c>
      <c r="J17" s="360">
        <f>SUM(J7:J16)</f>
        <v>0</v>
      </c>
      <c r="K17" s="360">
        <f>SUM(K7:K16)</f>
        <v>361758</v>
      </c>
      <c r="L17" s="360">
        <f>SUM(L7:L16)</f>
        <v>69178376</v>
      </c>
      <c r="M17" s="360">
        <f>SUM(M7:M16)</f>
        <v>5563153</v>
      </c>
      <c r="N17" s="360">
        <f>SUM(N7:N16)</f>
        <v>0</v>
      </c>
      <c r="O17" s="360">
        <f>SUM(O7:O16)</f>
        <v>1706261</v>
      </c>
      <c r="P17" s="360">
        <f>SUM(P7:P16)</f>
        <v>1000000</v>
      </c>
      <c r="Q17" s="360">
        <f>SUM(Q7:Q16)</f>
        <v>364627</v>
      </c>
      <c r="R17" s="360">
        <f>SUM(R7:R16)</f>
        <v>1887000</v>
      </c>
      <c r="S17" s="360">
        <f>SUM(S7:S16)</f>
        <v>5548611</v>
      </c>
      <c r="T17" s="360">
        <f>SUM(T7:T16)</f>
        <v>1286135</v>
      </c>
      <c r="U17" s="360">
        <f>SUM(U7:U16)</f>
        <v>4967725</v>
      </c>
      <c r="V17" s="360">
        <f>SUM(V7:V16)</f>
        <v>5193012</v>
      </c>
      <c r="W17" s="360">
        <f>SUM(W7:W16)</f>
        <v>0</v>
      </c>
      <c r="X17" s="360">
        <f>SUM(X7:X16)</f>
        <v>-177124</v>
      </c>
      <c r="Y17" s="360">
        <f>SUM(Y7:Y16)</f>
        <v>-92424</v>
      </c>
      <c r="Z17" s="360">
        <f>SUM(Z7:Z16)</f>
        <v>-7048</v>
      </c>
      <c r="AA17" s="360">
        <f>SUM(AA7:AA16)</f>
        <v>1345738</v>
      </c>
      <c r="AB17" s="360">
        <f>SUM(AB7:AB16)</f>
        <v>5423602</v>
      </c>
      <c r="AC17" s="360">
        <f>SUM(AC7:AC16)</f>
        <v>7689570</v>
      </c>
      <c r="AD17" s="375">
        <f>SUM(AD7:AD16)</f>
        <v>115248088</v>
      </c>
      <c r="AG17" s="84"/>
    </row>
    <row r="18" spans="1:34" ht="16.2">
      <c r="A18" s="289"/>
      <c r="B18" s="290" t="s">
        <v>4</v>
      </c>
      <c r="C18" s="285">
        <v>16961639</v>
      </c>
      <c r="D18" s="285">
        <v>590933193</v>
      </c>
      <c r="E18" s="285">
        <v>36561471</v>
      </c>
      <c r="F18" s="285">
        <v>9225061</v>
      </c>
      <c r="G18" s="285">
        <v>7840589</v>
      </c>
      <c r="H18" s="285">
        <v>3987187</v>
      </c>
      <c r="I18" s="285">
        <v>1159636</v>
      </c>
      <c r="J18" s="285">
        <v>13343961</v>
      </c>
      <c r="K18" s="285">
        <v>21886925</v>
      </c>
      <c r="L18" s="285">
        <v>343643396</v>
      </c>
      <c r="M18" s="285">
        <v>143966151</v>
      </c>
      <c r="N18" s="285">
        <v>15952053</v>
      </c>
      <c r="O18" s="285">
        <v>20909790</v>
      </c>
      <c r="P18" s="285">
        <v>6160951</v>
      </c>
      <c r="Q18" s="285">
        <v>23335</v>
      </c>
      <c r="R18" s="285">
        <v>30164830</v>
      </c>
      <c r="S18" s="285">
        <v>4465218</v>
      </c>
      <c r="T18" s="285">
        <v>5693995</v>
      </c>
      <c r="U18" s="285">
        <v>41288257</v>
      </c>
      <c r="V18" s="285">
        <v>2139087</v>
      </c>
      <c r="W18" s="285">
        <v>2474761</v>
      </c>
      <c r="X18" s="285">
        <v>18062278</v>
      </c>
      <c r="Y18" s="285">
        <v>9622892</v>
      </c>
      <c r="Z18" s="285">
        <v>617243</v>
      </c>
      <c r="AA18" s="285">
        <v>27530700</v>
      </c>
      <c r="AB18" s="285">
        <v>22353312</v>
      </c>
      <c r="AC18" s="285">
        <v>6972110</v>
      </c>
      <c r="AD18" s="286">
        <f t="shared" ref="AD18:AD20" si="3">SUM(C18:AC18)</f>
        <v>1403940021</v>
      </c>
      <c r="AF18" s="84"/>
      <c r="AH18" s="84"/>
    </row>
    <row r="19" spans="1:34" ht="16.2">
      <c r="A19" s="289"/>
      <c r="B19" s="291" t="s">
        <v>200</v>
      </c>
      <c r="C19" s="285">
        <v>13009162</v>
      </c>
      <c r="D19" s="285">
        <v>228660581</v>
      </c>
      <c r="E19" s="285">
        <v>41661654</v>
      </c>
      <c r="F19" s="285">
        <v>51338119</v>
      </c>
      <c r="G19" s="285">
        <v>4426970</v>
      </c>
      <c r="H19" s="285">
        <v>2428514</v>
      </c>
      <c r="I19" s="285">
        <v>23050781</v>
      </c>
      <c r="J19" s="285">
        <v>253229</v>
      </c>
      <c r="K19" s="285">
        <v>16376675</v>
      </c>
      <c r="L19" s="285">
        <v>287509629</v>
      </c>
      <c r="M19" s="285">
        <v>176336186</v>
      </c>
      <c r="N19" s="285">
        <v>8718944</v>
      </c>
      <c r="O19" s="285">
        <v>5208831</v>
      </c>
      <c r="P19" s="285">
        <v>3761607</v>
      </c>
      <c r="Q19" s="285">
        <v>4890206</v>
      </c>
      <c r="R19" s="285">
        <v>1787000</v>
      </c>
      <c r="S19" s="285">
        <v>37923296</v>
      </c>
      <c r="T19" s="285">
        <v>3141596</v>
      </c>
      <c r="U19" s="285">
        <v>19722985</v>
      </c>
      <c r="V19" s="285">
        <v>7275200</v>
      </c>
      <c r="W19" s="285">
        <v>6925057</v>
      </c>
      <c r="X19" s="285">
        <v>10942382</v>
      </c>
      <c r="Y19" s="285">
        <v>5332981</v>
      </c>
      <c r="Z19" s="285">
        <v>596621</v>
      </c>
      <c r="AA19" s="285">
        <v>19998112</v>
      </c>
      <c r="AB19" s="285">
        <v>10244441</v>
      </c>
      <c r="AC19" s="285">
        <v>717460</v>
      </c>
      <c r="AD19" s="286">
        <f t="shared" si="3"/>
        <v>992238219</v>
      </c>
      <c r="AF19" s="84"/>
      <c r="AH19" s="84"/>
    </row>
    <row r="20" spans="1:34" ht="16.8" thickBot="1">
      <c r="A20" s="289"/>
      <c r="B20" s="291" t="s">
        <v>34</v>
      </c>
      <c r="C20" s="285">
        <v>0</v>
      </c>
      <c r="D20" s="285">
        <v>6112915</v>
      </c>
      <c r="E20" s="285">
        <v>635921</v>
      </c>
      <c r="F20" s="285">
        <v>0</v>
      </c>
      <c r="G20" s="285">
        <v>0</v>
      </c>
      <c r="H20" s="285">
        <v>0</v>
      </c>
      <c r="I20" s="285">
        <v>25356</v>
      </c>
      <c r="J20" s="285">
        <v>0</v>
      </c>
      <c r="K20" s="285">
        <v>0</v>
      </c>
      <c r="L20" s="285">
        <v>772839</v>
      </c>
      <c r="M20" s="285">
        <v>0</v>
      </c>
      <c r="N20" s="285">
        <v>0</v>
      </c>
      <c r="O20" s="285">
        <v>0</v>
      </c>
      <c r="P20" s="285">
        <v>0</v>
      </c>
      <c r="Q20" s="285">
        <v>0</v>
      </c>
      <c r="R20" s="285">
        <v>100000</v>
      </c>
      <c r="S20" s="285">
        <v>0</v>
      </c>
      <c r="T20" s="285">
        <v>0</v>
      </c>
      <c r="U20" s="285">
        <v>83083</v>
      </c>
      <c r="V20" s="285">
        <v>0</v>
      </c>
      <c r="W20" s="285">
        <v>0</v>
      </c>
      <c r="X20" s="285">
        <v>0</v>
      </c>
      <c r="Y20" s="285">
        <v>0</v>
      </c>
      <c r="Z20" s="285">
        <v>0</v>
      </c>
      <c r="AA20" s="285">
        <v>0</v>
      </c>
      <c r="AB20" s="285">
        <v>0</v>
      </c>
      <c r="AC20" s="453"/>
      <c r="AD20" s="286">
        <f t="shared" si="3"/>
        <v>7730114</v>
      </c>
      <c r="AF20" s="84"/>
      <c r="AH20" s="84"/>
    </row>
    <row r="21" spans="1:34" ht="16.2" thickBot="1">
      <c r="A21" s="292"/>
      <c r="B21" s="288" t="s">
        <v>220</v>
      </c>
      <c r="C21" s="312">
        <f>C17+C6</f>
        <v>29970801</v>
      </c>
      <c r="D21" s="312">
        <f>D17+D6</f>
        <v>825706689</v>
      </c>
      <c r="E21" s="312">
        <f>E17+E6</f>
        <v>78859046</v>
      </c>
      <c r="F21" s="312">
        <f>F17+F6</f>
        <v>60563180</v>
      </c>
      <c r="G21" s="312">
        <f>G17+G6</f>
        <v>12267559</v>
      </c>
      <c r="H21" s="312">
        <f>H17+H6</f>
        <v>6415701</v>
      </c>
      <c r="I21" s="312">
        <f>I17+I6</f>
        <v>24235773</v>
      </c>
      <c r="J21" s="312">
        <f>J17+J6</f>
        <v>13597190</v>
      </c>
      <c r="K21" s="312">
        <f>K17+K6</f>
        <v>38263600</v>
      </c>
      <c r="L21" s="312">
        <f>L17+L6</f>
        <v>631925864</v>
      </c>
      <c r="M21" s="312">
        <f>M17+M6</f>
        <v>320302337</v>
      </c>
      <c r="N21" s="312">
        <f>N17+N6</f>
        <v>24670997</v>
      </c>
      <c r="O21" s="312">
        <f>O17+O6</f>
        <v>26118621</v>
      </c>
      <c r="P21" s="312">
        <f>P17+P6</f>
        <v>9922558</v>
      </c>
      <c r="Q21" s="312">
        <f>Q17+Q6</f>
        <v>4913541</v>
      </c>
      <c r="R21" s="312">
        <f>R17+R6</f>
        <v>32051830</v>
      </c>
      <c r="S21" s="312">
        <f>S17+S6</f>
        <v>42388514</v>
      </c>
      <c r="T21" s="312">
        <f>T17+T6</f>
        <v>8835591</v>
      </c>
      <c r="U21" s="312">
        <f>U17+U6</f>
        <v>61094325</v>
      </c>
      <c r="V21" s="312">
        <f>V17+V6</f>
        <v>9414287</v>
      </c>
      <c r="W21" s="312">
        <f>W17+W6</f>
        <v>9399818</v>
      </c>
      <c r="X21" s="312">
        <f>X17+X6</f>
        <v>29004660</v>
      </c>
      <c r="Y21" s="312">
        <f>Y17+Y6</f>
        <v>14955873</v>
      </c>
      <c r="Z21" s="312">
        <f>Z17+Z6</f>
        <v>1213864</v>
      </c>
      <c r="AA21" s="312">
        <f>AA17+AA6</f>
        <v>47528812</v>
      </c>
      <c r="AB21" s="312">
        <f>AB17+AB6</f>
        <v>32597753</v>
      </c>
      <c r="AC21" s="312">
        <f>AC17+AC6</f>
        <v>7689570</v>
      </c>
      <c r="AD21" s="346">
        <f>AD17+AD6</f>
        <v>2403908354</v>
      </c>
      <c r="AG21" s="84"/>
    </row>
    <row r="22" spans="1:34" s="343" customFormat="1">
      <c r="A22" s="17"/>
      <c r="B22" s="17"/>
      <c r="C22" s="114"/>
      <c r="D22" s="370"/>
      <c r="E22" s="371"/>
      <c r="F22" s="370"/>
      <c r="G22" s="370"/>
      <c r="H22" s="370"/>
      <c r="I22" s="370"/>
      <c r="J22" s="370"/>
      <c r="K22" s="370"/>
      <c r="L22" s="370"/>
      <c r="M22" s="370"/>
      <c r="N22" s="370"/>
      <c r="O22" s="370"/>
      <c r="P22" s="371"/>
      <c r="Q22" s="370"/>
      <c r="R22" s="370"/>
      <c r="S22" s="370"/>
      <c r="T22" s="370"/>
      <c r="U22" s="84"/>
      <c r="V22" s="84"/>
      <c r="W22" s="84"/>
      <c r="X22" s="84"/>
      <c r="Y22" s="84"/>
      <c r="Z22" s="84"/>
      <c r="AA22" s="84"/>
      <c r="AB22" s="114"/>
      <c r="AC22" s="114"/>
      <c r="AD22" s="114"/>
      <c r="AE22" s="100"/>
      <c r="AF22" s="100"/>
      <c r="AG22" s="342"/>
      <c r="AH22" s="342"/>
    </row>
    <row r="23" spans="1:34">
      <c r="A23" s="100"/>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row>
    <row r="24" spans="1:34">
      <c r="A24" s="100"/>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row>
    <row r="25" spans="1:34">
      <c r="A25" s="100"/>
      <c r="C25" s="422"/>
      <c r="D25" s="422"/>
      <c r="E25" s="422"/>
      <c r="F25" s="422"/>
      <c r="G25" s="422"/>
      <c r="H25" s="422"/>
      <c r="I25" s="422"/>
      <c r="J25" s="422"/>
      <c r="K25" s="422"/>
      <c r="L25" s="422"/>
      <c r="M25" s="422"/>
      <c r="N25" s="422"/>
      <c r="O25" s="422"/>
      <c r="P25" s="422"/>
      <c r="Q25" s="422"/>
      <c r="R25" s="422"/>
      <c r="S25" s="422"/>
      <c r="T25" s="422"/>
      <c r="U25" s="422"/>
      <c r="V25" s="422"/>
      <c r="W25" s="422"/>
      <c r="X25" s="422"/>
      <c r="Y25" s="422"/>
      <c r="Z25" s="422"/>
      <c r="AA25" s="422"/>
      <c r="AB25" s="422"/>
      <c r="AC25" s="422"/>
      <c r="AE25" s="84"/>
    </row>
    <row r="26" spans="1:34">
      <c r="A26" s="100"/>
      <c r="C26" s="422"/>
      <c r="D26" s="422"/>
      <c r="E26" s="422"/>
      <c r="F26" s="422"/>
      <c r="G26" s="422"/>
      <c r="H26" s="422"/>
      <c r="I26" s="422"/>
      <c r="J26" s="422"/>
      <c r="K26" s="422"/>
      <c r="L26" s="422"/>
      <c r="M26" s="422"/>
      <c r="N26" s="422"/>
      <c r="O26" s="422"/>
      <c r="P26" s="422"/>
      <c r="Q26" s="422"/>
      <c r="R26" s="422"/>
      <c r="S26" s="422"/>
      <c r="T26" s="422"/>
      <c r="U26" s="422"/>
      <c r="V26" s="422"/>
      <c r="W26" s="422"/>
      <c r="X26" s="422"/>
      <c r="Y26" s="422"/>
      <c r="Z26" s="422"/>
      <c r="AA26" s="422"/>
      <c r="AB26" s="422"/>
      <c r="AC26" s="422"/>
    </row>
    <row r="27" spans="1:34">
      <c r="A27" s="100"/>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row>
    <row r="28" spans="1:34">
      <c r="A28" s="100"/>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row>
    <row r="29" spans="1:34" s="97" customFormat="1">
      <c r="A29" s="293"/>
      <c r="B29" s="100"/>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row>
    <row r="30" spans="1:34" s="97" customFormat="1">
      <c r="A30" s="293"/>
      <c r="B30" s="100"/>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100"/>
    </row>
    <row r="31" spans="1:34" s="294" customFormat="1">
      <c r="A31" s="293"/>
      <c r="B31" s="100"/>
      <c r="C31" s="100"/>
      <c r="D31" s="100"/>
      <c r="E31" s="100"/>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row>
    <row r="32" spans="1:34" s="294" customFormat="1">
      <c r="A32" s="293"/>
      <c r="B32" s="100"/>
      <c r="C32" s="100"/>
      <c r="D32" s="100"/>
      <c r="E32" s="100"/>
      <c r="F32" s="100"/>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row>
    <row r="33" spans="1:30" s="294" customFormat="1">
      <c r="A33" s="293"/>
      <c r="B33" s="100"/>
      <c r="C33" s="100"/>
      <c r="D33" s="100"/>
      <c r="E33" s="100"/>
      <c r="F33" s="100"/>
      <c r="G33" s="100"/>
      <c r="H33" s="100"/>
      <c r="I33" s="100"/>
      <c r="J33" s="100"/>
      <c r="K33" s="100"/>
      <c r="L33" s="100"/>
      <c r="M33" s="100"/>
      <c r="N33" s="100"/>
      <c r="O33" s="100"/>
      <c r="P33" s="100"/>
      <c r="Q33" s="100"/>
      <c r="R33" s="100"/>
      <c r="S33" s="100"/>
      <c r="T33" s="100"/>
      <c r="U33" s="100"/>
      <c r="V33" s="100"/>
      <c r="W33" s="100"/>
      <c r="X33" s="100"/>
      <c r="Y33" s="100"/>
      <c r="Z33" s="100"/>
      <c r="AA33" s="100"/>
      <c r="AB33" s="100"/>
      <c r="AC33" s="100"/>
      <c r="AD33" s="100"/>
    </row>
    <row r="34" spans="1:30" s="269" customFormat="1">
      <c r="A34" s="293"/>
      <c r="B34" s="100"/>
      <c r="C34" s="100"/>
      <c r="D34" s="100"/>
      <c r="E34" s="100"/>
      <c r="F34" s="100"/>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row>
    <row r="56" spans="31:31">
      <c r="AE56" s="295"/>
    </row>
    <row r="57" spans="31:31">
      <c r="AE57" s="295"/>
    </row>
    <row r="58" spans="31:31">
      <c r="AE58" s="295"/>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B26" sqref="B26"/>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9"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04" t="s">
        <v>3</v>
      </c>
      <c r="B1" s="604"/>
      <c r="C1" s="604"/>
      <c r="D1" s="604"/>
      <c r="E1" s="604"/>
      <c r="F1" s="604"/>
      <c r="G1" s="604"/>
      <c r="H1" s="604"/>
      <c r="I1" s="604"/>
      <c r="J1" s="604"/>
      <c r="K1" s="604"/>
      <c r="L1" s="604"/>
      <c r="M1" s="106"/>
    </row>
    <row r="2" spans="1:14" s="65" customFormat="1" ht="18" customHeight="1">
      <c r="A2" s="605" t="s">
        <v>466</v>
      </c>
      <c r="B2" s="605"/>
      <c r="C2" s="605"/>
      <c r="D2" s="605"/>
      <c r="E2" s="605"/>
      <c r="F2" s="605"/>
      <c r="G2" s="605"/>
      <c r="H2" s="605"/>
      <c r="I2" s="605"/>
      <c r="J2" s="605"/>
      <c r="K2" s="605"/>
      <c r="L2" s="605"/>
      <c r="M2" s="107"/>
    </row>
    <row r="3" spans="1:14" s="65" customFormat="1" ht="18" customHeight="1">
      <c r="A3" s="606" t="str">
        <f>'Schedule 1'!A3:L3</f>
        <v>Data Through December 31, 2021</v>
      </c>
      <c r="B3" s="606"/>
      <c r="C3" s="606"/>
      <c r="D3" s="606"/>
      <c r="E3" s="606"/>
      <c r="F3" s="606"/>
      <c r="G3" s="606"/>
      <c r="H3" s="606"/>
      <c r="I3" s="606"/>
      <c r="J3" s="606"/>
      <c r="K3" s="606"/>
      <c r="L3" s="606"/>
      <c r="M3" s="107"/>
    </row>
    <row r="4" spans="1:14" s="69" customFormat="1" ht="31.2">
      <c r="A4" s="108"/>
      <c r="B4" s="109"/>
      <c r="C4" s="110" t="s">
        <v>182</v>
      </c>
      <c r="D4" s="110" t="s">
        <v>145</v>
      </c>
      <c r="E4" s="110" t="s">
        <v>201</v>
      </c>
      <c r="F4" s="110" t="s">
        <v>187</v>
      </c>
      <c r="G4" s="110" t="s">
        <v>144</v>
      </c>
      <c r="H4" s="110" t="s">
        <v>31</v>
      </c>
      <c r="I4" s="110" t="s">
        <v>46</v>
      </c>
      <c r="J4" s="110" t="s">
        <v>47</v>
      </c>
      <c r="K4" s="111" t="s">
        <v>32</v>
      </c>
      <c r="L4" s="111" t="s">
        <v>33</v>
      </c>
      <c r="M4" s="107"/>
    </row>
    <row r="5" spans="1:14" s="61" customFormat="1" ht="18" customHeight="1">
      <c r="A5" s="112" t="s">
        <v>22</v>
      </c>
      <c r="B5" s="113" t="s">
        <v>7</v>
      </c>
      <c r="C5" s="114">
        <v>25116628</v>
      </c>
      <c r="D5" s="114">
        <f>E5+G5</f>
        <v>-704413</v>
      </c>
      <c r="E5" s="114">
        <v>-704413</v>
      </c>
      <c r="F5" s="313" t="s">
        <v>594</v>
      </c>
      <c r="G5" s="114">
        <v>0</v>
      </c>
      <c r="H5" s="473"/>
      <c r="I5" s="114">
        <v>24412215</v>
      </c>
      <c r="J5" s="114">
        <v>24619736.119999964</v>
      </c>
      <c r="K5" s="114">
        <v>24412215</v>
      </c>
      <c r="L5" s="114">
        <f>I5-K5</f>
        <v>0</v>
      </c>
      <c r="M5" s="117">
        <f>I5-C5-D5</f>
        <v>0</v>
      </c>
      <c r="N5" s="62"/>
    </row>
    <row r="6" spans="1:14" s="70" customFormat="1" ht="7.5" customHeight="1">
      <c r="A6" s="112"/>
      <c r="B6" s="113"/>
      <c r="C6" s="114"/>
      <c r="D6" s="114"/>
      <c r="E6" s="114"/>
      <c r="F6" s="116"/>
      <c r="G6" s="116"/>
      <c r="H6" s="116"/>
      <c r="I6" s="114"/>
      <c r="J6" s="114"/>
      <c r="K6" s="114"/>
      <c r="L6" s="114"/>
      <c r="M6" s="117">
        <f t="shared" ref="M6:M51" si="0">I6-C6-D6</f>
        <v>0</v>
      </c>
      <c r="N6" s="62"/>
    </row>
    <row r="7" spans="1:14" s="71" customFormat="1" ht="18" customHeight="1">
      <c r="A7" s="118" t="s">
        <v>221</v>
      </c>
      <c r="B7" s="119"/>
      <c r="C7" s="120">
        <v>25116628</v>
      </c>
      <c r="D7" s="120">
        <f>D5</f>
        <v>-704413</v>
      </c>
      <c r="E7" s="120">
        <f>E5</f>
        <v>-704413</v>
      </c>
      <c r="F7" s="120"/>
      <c r="G7" s="120">
        <f t="shared" ref="G7:L7" si="1">G5</f>
        <v>0</v>
      </c>
      <c r="H7" s="121"/>
      <c r="I7" s="120">
        <f>I5</f>
        <v>24412215</v>
      </c>
      <c r="J7" s="120">
        <f>J5</f>
        <v>24619736.119999964</v>
      </c>
      <c r="K7" s="120">
        <f t="shared" si="1"/>
        <v>24412215</v>
      </c>
      <c r="L7" s="120">
        <f t="shared" si="1"/>
        <v>0</v>
      </c>
      <c r="M7" s="117">
        <f t="shared" si="0"/>
        <v>0</v>
      </c>
      <c r="N7" s="62"/>
    </row>
    <row r="8" spans="1:14" s="62" customFormat="1" ht="18" customHeight="1">
      <c r="A8" s="122" t="s">
        <v>23</v>
      </c>
      <c r="B8" s="113" t="s">
        <v>8</v>
      </c>
      <c r="C8" s="114">
        <v>822100036</v>
      </c>
      <c r="D8" s="114">
        <f>E8+G8</f>
        <v>7639116</v>
      </c>
      <c r="E8" s="114">
        <v>8139613</v>
      </c>
      <c r="F8" s="116" t="s">
        <v>582</v>
      </c>
      <c r="G8" s="114">
        <v>-500497</v>
      </c>
      <c r="H8" s="472" t="s">
        <v>196</v>
      </c>
      <c r="I8" s="114">
        <v>829739152</v>
      </c>
      <c r="J8" s="383">
        <v>806633866.61999452</v>
      </c>
      <c r="K8" s="114">
        <v>807554168</v>
      </c>
      <c r="L8" s="114">
        <f>I8-K8</f>
        <v>22184984</v>
      </c>
      <c r="M8" s="117">
        <f>I8-C8-D8</f>
        <v>0</v>
      </c>
    </row>
    <row r="9" spans="1:14" s="62" customFormat="1" ht="18" customHeight="1">
      <c r="A9" s="122" t="s">
        <v>24</v>
      </c>
      <c r="B9" s="113" t="s">
        <v>9</v>
      </c>
      <c r="C9" s="114">
        <v>47105630</v>
      </c>
      <c r="D9" s="114">
        <f>E9+G9</f>
        <v>42976794</v>
      </c>
      <c r="E9" s="114">
        <v>43167330</v>
      </c>
      <c r="F9" s="116" t="s">
        <v>583</v>
      </c>
      <c r="G9" s="114">
        <v>-190536</v>
      </c>
      <c r="H9" s="116" t="s">
        <v>196</v>
      </c>
      <c r="I9" s="114">
        <v>90082424</v>
      </c>
      <c r="J9" s="114">
        <v>71404215.979999781</v>
      </c>
      <c r="K9" s="114">
        <v>90082424</v>
      </c>
      <c r="L9" s="114">
        <f>I9-K9</f>
        <v>0</v>
      </c>
      <c r="M9" s="117">
        <f>I9-C9-D9</f>
        <v>0</v>
      </c>
    </row>
    <row r="10" spans="1:14" s="62" customFormat="1" ht="18" customHeight="1">
      <c r="A10" s="122" t="s">
        <v>25</v>
      </c>
      <c r="B10" s="113" t="s">
        <v>159</v>
      </c>
      <c r="C10" s="114">
        <v>77471886</v>
      </c>
      <c r="D10" s="114">
        <f t="shared" ref="D10:D18" si="2">E10+G10</f>
        <v>-21364906</v>
      </c>
      <c r="E10" s="114">
        <v>-21364906</v>
      </c>
      <c r="F10" s="115" t="s">
        <v>547</v>
      </c>
      <c r="G10" s="114">
        <v>0</v>
      </c>
      <c r="H10" s="115"/>
      <c r="I10" s="114">
        <v>56106980</v>
      </c>
      <c r="J10" s="114">
        <v>45603151.669999987</v>
      </c>
      <c r="K10" s="114">
        <v>46131039</v>
      </c>
      <c r="L10" s="114">
        <f t="shared" ref="L10:L18" si="3">I10-K10</f>
        <v>9975941</v>
      </c>
      <c r="M10" s="117">
        <f>I10-C10-D10</f>
        <v>0</v>
      </c>
    </row>
    <row r="11" spans="1:14" s="62" customFormat="1" ht="18" customHeight="1">
      <c r="A11" s="122" t="s">
        <v>26</v>
      </c>
      <c r="B11" s="113" t="s">
        <v>160</v>
      </c>
      <c r="C11" s="114">
        <v>12781921</v>
      </c>
      <c r="D11" s="114">
        <f t="shared" si="2"/>
        <v>2430691</v>
      </c>
      <c r="E11" s="114">
        <v>2430691</v>
      </c>
      <c r="F11" s="115" t="s">
        <v>481</v>
      </c>
      <c r="G11" s="114">
        <v>0</v>
      </c>
      <c r="H11" s="115"/>
      <c r="I11" s="114">
        <v>15212612</v>
      </c>
      <c r="J11" s="114">
        <v>12076976.529999999</v>
      </c>
      <c r="K11" s="114">
        <v>15212612</v>
      </c>
      <c r="L11" s="114">
        <f t="shared" si="3"/>
        <v>0</v>
      </c>
      <c r="M11" s="117">
        <f t="shared" si="0"/>
        <v>0</v>
      </c>
    </row>
    <row r="12" spans="1:14" s="62" customFormat="1" ht="18" customHeight="1">
      <c r="A12" s="122" t="s">
        <v>27</v>
      </c>
      <c r="B12" s="113" t="s">
        <v>161</v>
      </c>
      <c r="C12" s="114">
        <v>6483947</v>
      </c>
      <c r="D12" s="114">
        <f t="shared" si="2"/>
        <v>0</v>
      </c>
      <c r="E12" s="114">
        <v>0</v>
      </c>
      <c r="F12" s="115"/>
      <c r="G12" s="114">
        <v>0</v>
      </c>
      <c r="H12" s="115"/>
      <c r="I12" s="114">
        <v>6483947</v>
      </c>
      <c r="J12" s="114">
        <v>5708231.620000002</v>
      </c>
      <c r="K12" s="114">
        <v>6483947</v>
      </c>
      <c r="L12" s="114">
        <f t="shared" si="3"/>
        <v>0</v>
      </c>
      <c r="M12" s="117">
        <f t="shared" si="0"/>
        <v>0</v>
      </c>
    </row>
    <row r="13" spans="1:14" s="62" customFormat="1" ht="18" customHeight="1">
      <c r="A13" s="122" t="s">
        <v>100</v>
      </c>
      <c r="B13" s="113" t="s">
        <v>11</v>
      </c>
      <c r="C13" s="114">
        <v>9243710</v>
      </c>
      <c r="D13" s="114">
        <f t="shared" si="2"/>
        <v>13712746</v>
      </c>
      <c r="E13" s="114">
        <v>20953153</v>
      </c>
      <c r="F13" s="115" t="s">
        <v>394</v>
      </c>
      <c r="G13" s="114">
        <v>-7240407</v>
      </c>
      <c r="H13" s="115" t="s">
        <v>196</v>
      </c>
      <c r="I13" s="114">
        <v>22956456</v>
      </c>
      <c r="J13" s="114">
        <v>19991176.550000004</v>
      </c>
      <c r="K13" s="114">
        <v>22956456</v>
      </c>
      <c r="L13" s="114">
        <f t="shared" si="3"/>
        <v>0</v>
      </c>
      <c r="M13" s="117">
        <f t="shared" si="0"/>
        <v>0</v>
      </c>
    </row>
    <row r="14" spans="1:14" s="62" customFormat="1" ht="18" customHeight="1">
      <c r="A14" s="122" t="s">
        <v>101</v>
      </c>
      <c r="B14" s="113" t="s">
        <v>162</v>
      </c>
      <c r="C14" s="114">
        <v>13597190</v>
      </c>
      <c r="D14" s="114">
        <f t="shared" si="2"/>
        <v>6100924</v>
      </c>
      <c r="E14" s="114">
        <v>6100924</v>
      </c>
      <c r="F14" s="115" t="s">
        <v>491</v>
      </c>
      <c r="G14" s="114">
        <v>0</v>
      </c>
      <c r="H14" s="115"/>
      <c r="I14" s="114">
        <v>19698114</v>
      </c>
      <c r="J14" s="114">
        <v>17583229.339999992</v>
      </c>
      <c r="K14" s="114">
        <v>19698114</v>
      </c>
      <c r="L14" s="114">
        <f t="shared" si="3"/>
        <v>0</v>
      </c>
      <c r="M14" s="117">
        <f t="shared" si="0"/>
        <v>0</v>
      </c>
    </row>
    <row r="15" spans="1:14" s="62" customFormat="1" ht="18" customHeight="1">
      <c r="A15" s="122" t="s">
        <v>102</v>
      </c>
      <c r="B15" s="113" t="s">
        <v>163</v>
      </c>
      <c r="C15" s="114">
        <v>40458689</v>
      </c>
      <c r="D15" s="114">
        <f t="shared" si="2"/>
        <v>6269684</v>
      </c>
      <c r="E15" s="114">
        <v>6269684</v>
      </c>
      <c r="F15" s="115" t="s">
        <v>546</v>
      </c>
      <c r="G15" s="114">
        <v>0</v>
      </c>
      <c r="H15" s="115"/>
      <c r="I15" s="114">
        <v>46728373</v>
      </c>
      <c r="J15" s="114">
        <v>35598093.720000006</v>
      </c>
      <c r="K15" s="114">
        <v>46728373</v>
      </c>
      <c r="L15" s="114">
        <f t="shared" si="3"/>
        <v>0</v>
      </c>
      <c r="M15" s="117">
        <f t="shared" si="0"/>
        <v>0</v>
      </c>
    </row>
    <row r="16" spans="1:14" s="62" customFormat="1" ht="18" customHeight="1">
      <c r="A16" s="122" t="s">
        <v>103</v>
      </c>
      <c r="B16" s="113" t="s">
        <v>164</v>
      </c>
      <c r="C16" s="114">
        <v>525506742</v>
      </c>
      <c r="D16" s="114">
        <f t="shared" si="2"/>
        <v>29608777</v>
      </c>
      <c r="E16" s="114">
        <v>29608777</v>
      </c>
      <c r="F16" s="313" t="s">
        <v>548</v>
      </c>
      <c r="G16" s="114">
        <v>0</v>
      </c>
      <c r="H16" s="115"/>
      <c r="I16" s="114">
        <v>555115519</v>
      </c>
      <c r="J16" s="114">
        <v>540930531.58999872</v>
      </c>
      <c r="K16" s="114">
        <v>550129488</v>
      </c>
      <c r="L16" s="114">
        <f t="shared" si="3"/>
        <v>4986031</v>
      </c>
      <c r="M16" s="117">
        <f>I16-C16-D16</f>
        <v>0</v>
      </c>
    </row>
    <row r="17" spans="1:14" s="62" customFormat="1" ht="18" customHeight="1">
      <c r="A17" s="122" t="s">
        <v>104</v>
      </c>
      <c r="B17" s="113" t="s">
        <v>165</v>
      </c>
      <c r="C17" s="114">
        <v>315461814</v>
      </c>
      <c r="D17" s="114">
        <f t="shared" si="2"/>
        <v>901586</v>
      </c>
      <c r="E17" s="114">
        <v>901586</v>
      </c>
      <c r="F17" s="115" t="s">
        <v>547</v>
      </c>
      <c r="G17" s="114">
        <v>0</v>
      </c>
      <c r="H17" s="115"/>
      <c r="I17" s="114">
        <v>316363400</v>
      </c>
      <c r="J17" s="114">
        <v>306349856.54999995</v>
      </c>
      <c r="K17" s="114">
        <v>306256241</v>
      </c>
      <c r="L17" s="114">
        <f t="shared" si="3"/>
        <v>10107159</v>
      </c>
      <c r="M17" s="117">
        <f t="shared" si="0"/>
        <v>0</v>
      </c>
    </row>
    <row r="18" spans="1:14" s="62" customFormat="1" ht="18" customHeight="1">
      <c r="A18" s="122" t="s">
        <v>105</v>
      </c>
      <c r="B18" s="113" t="s">
        <v>166</v>
      </c>
      <c r="C18" s="114">
        <v>40722576</v>
      </c>
      <c r="D18" s="114">
        <f t="shared" si="2"/>
        <v>-9800000</v>
      </c>
      <c r="E18" s="114">
        <v>-9800000</v>
      </c>
      <c r="F18" s="115" t="s">
        <v>549</v>
      </c>
      <c r="G18" s="114">
        <v>0</v>
      </c>
      <c r="H18" s="115"/>
      <c r="I18" s="114">
        <v>30922576</v>
      </c>
      <c r="J18" s="114">
        <v>25028549.530000005</v>
      </c>
      <c r="K18" s="114">
        <v>25036868</v>
      </c>
      <c r="L18" s="114">
        <f t="shared" si="3"/>
        <v>5885708</v>
      </c>
      <c r="M18" s="117">
        <f t="shared" si="0"/>
        <v>0</v>
      </c>
    </row>
    <row r="19" spans="1:14" s="72" customFormat="1" ht="7.5" customHeight="1">
      <c r="A19" s="122"/>
      <c r="B19" s="123"/>
      <c r="C19" s="114"/>
      <c r="D19" s="114"/>
      <c r="E19" s="114"/>
      <c r="F19" s="115"/>
      <c r="G19" s="115"/>
      <c r="H19" s="115"/>
      <c r="I19" s="114"/>
      <c r="J19" s="114"/>
      <c r="K19" s="114"/>
      <c r="L19" s="114"/>
      <c r="M19" s="117">
        <f t="shared" si="0"/>
        <v>0</v>
      </c>
      <c r="N19" s="62"/>
    </row>
    <row r="20" spans="1:14" s="71" customFormat="1" ht="18" customHeight="1">
      <c r="A20" s="118" t="s">
        <v>222</v>
      </c>
      <c r="B20" s="119"/>
      <c r="C20" s="120">
        <f>SUM(C8:C18)</f>
        <v>1910934141</v>
      </c>
      <c r="D20" s="120">
        <f>SUM(D8:D18)</f>
        <v>78475412</v>
      </c>
      <c r="E20" s="120">
        <f>SUM(E8:E18)</f>
        <v>86406852</v>
      </c>
      <c r="F20" s="120"/>
      <c r="G20" s="120">
        <f>SUM(G8:G18)</f>
        <v>-7931440</v>
      </c>
      <c r="H20" s="121"/>
      <c r="I20" s="120">
        <f>SUM(I8:I18)</f>
        <v>1989409553</v>
      </c>
      <c r="J20" s="120">
        <f>SUM(J8:J18)</f>
        <v>1886907879.6999929</v>
      </c>
      <c r="K20" s="120">
        <f>SUM(K8:K18)</f>
        <v>1936269730</v>
      </c>
      <c r="L20" s="120">
        <f>SUM(L8:L18)</f>
        <v>53139823</v>
      </c>
      <c r="M20" s="117">
        <f t="shared" si="0"/>
        <v>0</v>
      </c>
      <c r="N20" s="62"/>
    </row>
    <row r="21" spans="1:14" s="62" customFormat="1" ht="18" customHeight="1">
      <c r="A21" s="122" t="s">
        <v>28</v>
      </c>
      <c r="B21" s="113" t="s">
        <v>14</v>
      </c>
      <c r="C21" s="114">
        <v>24312360</v>
      </c>
      <c r="D21" s="114">
        <f t="shared" ref="D21:D26" si="4">E21+G21</f>
        <v>850578</v>
      </c>
      <c r="E21" s="114">
        <v>850578</v>
      </c>
      <c r="F21" s="115" t="s">
        <v>550</v>
      </c>
      <c r="G21" s="114">
        <v>0</v>
      </c>
      <c r="H21" s="115"/>
      <c r="I21" s="114">
        <v>25162938</v>
      </c>
      <c r="J21" s="114">
        <v>24773670.02</v>
      </c>
      <c r="K21" s="114">
        <v>25162938</v>
      </c>
      <c r="L21" s="114">
        <f t="shared" ref="L21:L26" si="5">I21-K21</f>
        <v>0</v>
      </c>
      <c r="M21" s="117">
        <f>I21-C21-D21</f>
        <v>0</v>
      </c>
    </row>
    <row r="22" spans="1:14" s="62" customFormat="1" ht="18" customHeight="1">
      <c r="A22" s="122" t="s">
        <v>106</v>
      </c>
      <c r="B22" s="113" t="s">
        <v>15</v>
      </c>
      <c r="C22" s="114">
        <v>8422558</v>
      </c>
      <c r="D22" s="114">
        <f t="shared" si="4"/>
        <v>-300000</v>
      </c>
      <c r="E22" s="114">
        <v>-300000</v>
      </c>
      <c r="F22" s="115" t="s">
        <v>297</v>
      </c>
      <c r="G22" s="114">
        <v>0</v>
      </c>
      <c r="H22" s="115"/>
      <c r="I22" s="114">
        <v>8122558</v>
      </c>
      <c r="J22" s="114">
        <v>8043444.2399999993</v>
      </c>
      <c r="K22" s="114">
        <v>8122558</v>
      </c>
      <c r="L22" s="114">
        <f t="shared" si="5"/>
        <v>0</v>
      </c>
      <c r="M22" s="117">
        <f t="shared" si="0"/>
        <v>0</v>
      </c>
    </row>
    <row r="23" spans="1:14" s="62" customFormat="1" ht="18" customHeight="1">
      <c r="A23" s="122" t="s">
        <v>107</v>
      </c>
      <c r="B23" s="113" t="s">
        <v>16</v>
      </c>
      <c r="C23" s="114">
        <v>3287393</v>
      </c>
      <c r="D23" s="114">
        <f t="shared" si="4"/>
        <v>1758650</v>
      </c>
      <c r="E23" s="114">
        <v>1758650</v>
      </c>
      <c r="F23" s="115" t="s">
        <v>584</v>
      </c>
      <c r="G23" s="114">
        <v>0</v>
      </c>
      <c r="H23" s="472"/>
      <c r="I23" s="114">
        <v>5046043</v>
      </c>
      <c r="J23" s="114">
        <v>4699491.18</v>
      </c>
      <c r="K23" s="114">
        <v>5046043</v>
      </c>
      <c r="L23" s="114">
        <f t="shared" si="5"/>
        <v>0</v>
      </c>
      <c r="M23" s="117">
        <f t="shared" si="0"/>
        <v>0</v>
      </c>
    </row>
    <row r="24" spans="1:14" s="62" customFormat="1" ht="18" customHeight="1">
      <c r="A24" s="122" t="s">
        <v>93</v>
      </c>
      <c r="B24" s="113" t="s">
        <v>135</v>
      </c>
      <c r="C24" s="114">
        <v>30297011</v>
      </c>
      <c r="D24" s="114">
        <f t="shared" si="4"/>
        <v>-262</v>
      </c>
      <c r="E24" s="114">
        <v>-262</v>
      </c>
      <c r="F24" s="115" t="s">
        <v>585</v>
      </c>
      <c r="G24" s="114">
        <v>0</v>
      </c>
      <c r="H24" s="472"/>
      <c r="I24" s="114">
        <v>30296749</v>
      </c>
      <c r="J24" s="114">
        <v>30051054.650000006</v>
      </c>
      <c r="K24" s="114">
        <v>30296749</v>
      </c>
      <c r="L24" s="114">
        <f t="shared" si="5"/>
        <v>0</v>
      </c>
      <c r="M24" s="117">
        <f t="shared" si="0"/>
        <v>0</v>
      </c>
    </row>
    <row r="25" spans="1:14" s="62" customFormat="1" ht="18" customHeight="1">
      <c r="A25" s="122" t="s">
        <v>94</v>
      </c>
      <c r="B25" s="113" t="s">
        <v>290</v>
      </c>
      <c r="C25" s="114">
        <v>33009782</v>
      </c>
      <c r="D25" s="114">
        <f t="shared" si="4"/>
        <v>1116613</v>
      </c>
      <c r="E25" s="114">
        <v>1846413</v>
      </c>
      <c r="F25" s="115" t="s">
        <v>196</v>
      </c>
      <c r="G25" s="114">
        <v>-729800</v>
      </c>
      <c r="H25" s="115" t="s">
        <v>196</v>
      </c>
      <c r="I25" s="114">
        <v>34126395</v>
      </c>
      <c r="J25" s="114">
        <v>33734562.860000007</v>
      </c>
      <c r="K25" s="114">
        <v>34126395</v>
      </c>
      <c r="L25" s="114">
        <f t="shared" si="5"/>
        <v>0</v>
      </c>
      <c r="M25" s="117">
        <f>I25-C25-D25</f>
        <v>0</v>
      </c>
    </row>
    <row r="26" spans="1:14" s="62" customFormat="1" ht="18" customHeight="1">
      <c r="A26" s="122" t="s">
        <v>108</v>
      </c>
      <c r="B26" s="113" t="s">
        <v>136</v>
      </c>
      <c r="C26" s="114">
        <v>7758251</v>
      </c>
      <c r="D26" s="114">
        <f t="shared" si="4"/>
        <v>-215873</v>
      </c>
      <c r="E26" s="114">
        <v>295145</v>
      </c>
      <c r="F26" s="313" t="s">
        <v>586</v>
      </c>
      <c r="G26" s="114">
        <v>-511018</v>
      </c>
      <c r="H26" s="472" t="s">
        <v>196</v>
      </c>
      <c r="I26" s="114">
        <v>7542378</v>
      </c>
      <c r="J26" s="114">
        <v>7196090.6700000046</v>
      </c>
      <c r="K26" s="114">
        <v>7542378</v>
      </c>
      <c r="L26" s="114">
        <f t="shared" si="5"/>
        <v>0</v>
      </c>
      <c r="M26" s="117">
        <f>I26-C26-D26</f>
        <v>0</v>
      </c>
    </row>
    <row r="27" spans="1:14" s="72" customFormat="1" ht="7.5" customHeight="1">
      <c r="A27" s="122"/>
      <c r="B27" s="113"/>
      <c r="C27" s="114"/>
      <c r="D27" s="114"/>
      <c r="E27" s="114"/>
      <c r="F27" s="115"/>
      <c r="G27" s="115"/>
      <c r="H27" s="115"/>
      <c r="I27" s="114"/>
      <c r="J27" s="114"/>
      <c r="K27" s="114"/>
      <c r="L27" s="114"/>
      <c r="M27" s="117">
        <f t="shared" si="0"/>
        <v>0</v>
      </c>
      <c r="N27" s="62"/>
    </row>
    <row r="28" spans="1:14" s="71" customFormat="1" ht="18" customHeight="1">
      <c r="A28" s="118" t="s">
        <v>223</v>
      </c>
      <c r="B28" s="119"/>
      <c r="C28" s="120">
        <v>107087355</v>
      </c>
      <c r="D28" s="120">
        <f>SUM(D21:D26)</f>
        <v>3209706</v>
      </c>
      <c r="E28" s="120">
        <f>SUM(E21:E26)</f>
        <v>4450524</v>
      </c>
      <c r="F28" s="121"/>
      <c r="G28" s="120">
        <f>SUM(G21:G26)</f>
        <v>-1240818</v>
      </c>
      <c r="H28" s="121"/>
      <c r="I28" s="120">
        <f>SUM(I21:I26)</f>
        <v>110297061</v>
      </c>
      <c r="J28" s="120">
        <f>SUM(J21:J26)</f>
        <v>108498313.62000002</v>
      </c>
      <c r="K28" s="120">
        <f>SUM(K21:K26)</f>
        <v>110297061</v>
      </c>
      <c r="L28" s="120">
        <f>SUM(L21:L26)</f>
        <v>0</v>
      </c>
      <c r="M28" s="117">
        <f t="shared" si="0"/>
        <v>0</v>
      </c>
      <c r="N28" s="62"/>
    </row>
    <row r="29" spans="1:14" s="62" customFormat="1" ht="18" customHeight="1">
      <c r="A29" s="122" t="s">
        <v>95</v>
      </c>
      <c r="B29" s="113" t="s">
        <v>167</v>
      </c>
      <c r="C29" s="114">
        <v>56610884</v>
      </c>
      <c r="D29" s="114">
        <f>E29+G29</f>
        <v>438925</v>
      </c>
      <c r="E29" s="114">
        <v>438925</v>
      </c>
      <c r="F29" s="115" t="s">
        <v>587</v>
      </c>
      <c r="G29" s="114">
        <v>0</v>
      </c>
      <c r="H29" s="116"/>
      <c r="I29" s="114">
        <v>57049809</v>
      </c>
      <c r="J29" s="114">
        <v>54632753.519999854</v>
      </c>
      <c r="K29" s="114">
        <v>57049809</v>
      </c>
      <c r="L29" s="114">
        <f>I29-K29</f>
        <v>0</v>
      </c>
      <c r="M29" s="117">
        <f t="shared" si="0"/>
        <v>0</v>
      </c>
    </row>
    <row r="30" spans="1:14" s="62" customFormat="1" ht="18" customHeight="1">
      <c r="A30" s="122" t="s">
        <v>96</v>
      </c>
      <c r="B30" s="113" t="s">
        <v>109</v>
      </c>
      <c r="C30" s="114">
        <v>4587894</v>
      </c>
      <c r="D30" s="114">
        <f>E30+G30</f>
        <v>-147009</v>
      </c>
      <c r="E30" s="114">
        <v>-147009</v>
      </c>
      <c r="F30" s="115" t="s">
        <v>588</v>
      </c>
      <c r="G30" s="114">
        <v>0</v>
      </c>
      <c r="H30" s="116"/>
      <c r="I30" s="114">
        <v>4440885</v>
      </c>
      <c r="J30" s="114">
        <v>4142986.7300000014</v>
      </c>
      <c r="K30" s="114">
        <v>4440885</v>
      </c>
      <c r="L30" s="114">
        <f>I30-K30</f>
        <v>0</v>
      </c>
      <c r="M30" s="117">
        <f t="shared" si="0"/>
        <v>0</v>
      </c>
    </row>
    <row r="31" spans="1:14" s="62" customFormat="1" ht="18" customHeight="1">
      <c r="A31" s="122" t="s">
        <v>97</v>
      </c>
      <c r="B31" s="113" t="s">
        <v>168</v>
      </c>
      <c r="C31" s="114">
        <v>9399818</v>
      </c>
      <c r="D31" s="114">
        <f>E31+G31</f>
        <v>918336</v>
      </c>
      <c r="E31" s="114">
        <v>1042488</v>
      </c>
      <c r="F31" s="115" t="s">
        <v>433</v>
      </c>
      <c r="G31" s="114">
        <v>-124152</v>
      </c>
      <c r="H31" s="115" t="s">
        <v>196</v>
      </c>
      <c r="I31" s="114">
        <v>10318154</v>
      </c>
      <c r="J31" s="114">
        <v>9913949.9800000004</v>
      </c>
      <c r="K31" s="114">
        <v>10318154</v>
      </c>
      <c r="L31" s="114">
        <f>I31-K31</f>
        <v>0</v>
      </c>
      <c r="M31" s="117">
        <f t="shared" si="0"/>
        <v>0</v>
      </c>
    </row>
    <row r="32" spans="1:14" s="72" customFormat="1" ht="7.5" customHeight="1">
      <c r="A32" s="122"/>
      <c r="B32" s="113"/>
      <c r="C32" s="114"/>
      <c r="D32" s="114"/>
      <c r="E32" s="114"/>
      <c r="F32" s="115"/>
      <c r="G32" s="115"/>
      <c r="H32" s="115"/>
      <c r="I32" s="114"/>
      <c r="J32" s="114"/>
      <c r="K32" s="114"/>
      <c r="L32" s="114"/>
      <c r="M32" s="117">
        <f t="shared" si="0"/>
        <v>0</v>
      </c>
      <c r="N32" s="62"/>
    </row>
    <row r="33" spans="1:14" s="62" customFormat="1" ht="18" customHeight="1">
      <c r="A33" s="124" t="s">
        <v>224</v>
      </c>
      <c r="B33" s="119"/>
      <c r="C33" s="120">
        <v>70598596</v>
      </c>
      <c r="D33" s="120">
        <f>SUM(D29:D31)</f>
        <v>1210252</v>
      </c>
      <c r="E33" s="120">
        <f>SUM(E29:E31)</f>
        <v>1334404</v>
      </c>
      <c r="F33" s="121"/>
      <c r="G33" s="121">
        <f>SUM(G29:G31)</f>
        <v>-124152</v>
      </c>
      <c r="H33" s="121"/>
      <c r="I33" s="120">
        <f>SUM(I29:I31)</f>
        <v>71808848</v>
      </c>
      <c r="J33" s="120">
        <f>SUM(J29:J31)</f>
        <v>68689690.229999855</v>
      </c>
      <c r="K33" s="120">
        <f>SUM(K29:K31)</f>
        <v>71808848</v>
      </c>
      <c r="L33" s="120">
        <f>SUM(L29:L31)</f>
        <v>0</v>
      </c>
      <c r="M33" s="117">
        <f t="shared" si="0"/>
        <v>0</v>
      </c>
    </row>
    <row r="34" spans="1:14" s="62" customFormat="1" ht="18" customHeight="1">
      <c r="A34" s="122" t="s">
        <v>98</v>
      </c>
      <c r="B34" s="125" t="s">
        <v>18</v>
      </c>
      <c r="C34" s="114">
        <v>31033430</v>
      </c>
      <c r="D34" s="114">
        <f>E34+G34</f>
        <v>-2569777</v>
      </c>
      <c r="E34" s="114">
        <v>-2569777</v>
      </c>
      <c r="F34" s="115" t="s">
        <v>589</v>
      </c>
      <c r="G34" s="114">
        <v>0</v>
      </c>
      <c r="H34" s="472"/>
      <c r="I34" s="114">
        <v>28463653</v>
      </c>
      <c r="J34" s="114">
        <v>26751762.56000017</v>
      </c>
      <c r="K34" s="114">
        <v>28463653</v>
      </c>
      <c r="L34" s="114">
        <f>I34-K34</f>
        <v>0</v>
      </c>
      <c r="M34" s="117">
        <f t="shared" si="0"/>
        <v>0</v>
      </c>
    </row>
    <row r="35" spans="1:14" s="62" customFormat="1" ht="18" customHeight="1">
      <c r="A35" s="122" t="s">
        <v>252</v>
      </c>
      <c r="B35" s="125" t="s">
        <v>19</v>
      </c>
      <c r="C35" s="114">
        <v>15395931</v>
      </c>
      <c r="D35" s="114">
        <f>E35+G35</f>
        <v>-606241</v>
      </c>
      <c r="E35" s="114">
        <v>-606405</v>
      </c>
      <c r="F35" s="115" t="s">
        <v>590</v>
      </c>
      <c r="G35" s="114">
        <v>164</v>
      </c>
      <c r="H35" s="116" t="s">
        <v>196</v>
      </c>
      <c r="I35" s="114">
        <v>14789690</v>
      </c>
      <c r="J35" s="114">
        <v>13898400.729999876</v>
      </c>
      <c r="K35" s="114">
        <v>14789690</v>
      </c>
      <c r="L35" s="114">
        <f>I35-K35</f>
        <v>0</v>
      </c>
      <c r="M35" s="117">
        <f t="shared" si="0"/>
        <v>0</v>
      </c>
    </row>
    <row r="36" spans="1:14" s="62" customFormat="1" ht="18" customHeight="1">
      <c r="A36" s="122" t="s">
        <v>253</v>
      </c>
      <c r="B36" s="125" t="s">
        <v>20</v>
      </c>
      <c r="C36" s="114">
        <v>1024990</v>
      </c>
      <c r="D36" s="114">
        <f>E36+G36</f>
        <v>238281</v>
      </c>
      <c r="E36" s="114">
        <v>238281</v>
      </c>
      <c r="F36" s="115" t="s">
        <v>591</v>
      </c>
      <c r="G36" s="114">
        <v>0</v>
      </c>
      <c r="H36" s="472"/>
      <c r="I36" s="114">
        <v>1263271</v>
      </c>
      <c r="J36" s="114">
        <v>1185241.3100000103</v>
      </c>
      <c r="K36" s="114">
        <v>1263271</v>
      </c>
      <c r="L36" s="114">
        <f>I36-K36</f>
        <v>0</v>
      </c>
      <c r="M36" s="117">
        <f t="shared" si="0"/>
        <v>0</v>
      </c>
    </row>
    <row r="37" spans="1:14" s="62" customFormat="1" ht="18" customHeight="1">
      <c r="A37" s="122" t="s">
        <v>254</v>
      </c>
      <c r="B37" s="125" t="s">
        <v>21</v>
      </c>
      <c r="C37" s="114">
        <v>44325535</v>
      </c>
      <c r="D37" s="114">
        <f>E37+G37</f>
        <v>-801439</v>
      </c>
      <c r="E37" s="114">
        <v>-801439</v>
      </c>
      <c r="F37" s="115" t="s">
        <v>592</v>
      </c>
      <c r="G37" s="114">
        <v>0</v>
      </c>
      <c r="H37" s="472"/>
      <c r="I37" s="114">
        <v>43524096</v>
      </c>
      <c r="J37" s="114">
        <v>40380189.83999978</v>
      </c>
      <c r="K37" s="114">
        <v>43524096</v>
      </c>
      <c r="L37" s="114">
        <f>I37-K37</f>
        <v>0</v>
      </c>
      <c r="M37" s="117">
        <f t="shared" si="0"/>
        <v>0</v>
      </c>
    </row>
    <row r="38" spans="1:14" s="72" customFormat="1" ht="7.5" customHeight="1">
      <c r="A38" s="122"/>
      <c r="B38" s="125"/>
      <c r="C38" s="114"/>
      <c r="D38" s="114"/>
      <c r="E38" s="114"/>
      <c r="F38" s="115"/>
      <c r="G38" s="115"/>
      <c r="H38" s="115"/>
      <c r="I38" s="114"/>
      <c r="J38" s="114"/>
      <c r="K38" s="114"/>
      <c r="L38" s="114"/>
      <c r="M38" s="117">
        <f t="shared" si="0"/>
        <v>0</v>
      </c>
      <c r="N38" s="62"/>
    </row>
    <row r="39" spans="1:14" s="71" customFormat="1" ht="18" customHeight="1">
      <c r="A39" s="118" t="s">
        <v>350</v>
      </c>
      <c r="B39" s="119"/>
      <c r="C39" s="120">
        <v>91779886</v>
      </c>
      <c r="D39" s="120">
        <f>SUM(D34:D38)</f>
        <v>-3739176</v>
      </c>
      <c r="E39" s="120">
        <f>SUM(E34:E38)</f>
        <v>-3739340</v>
      </c>
      <c r="F39" s="121"/>
      <c r="G39" s="121">
        <f>SUM(G34:G38)</f>
        <v>164</v>
      </c>
      <c r="H39" s="121"/>
      <c r="I39" s="120">
        <f>SUM(I34:I38)</f>
        <v>88040710</v>
      </c>
      <c r="J39" s="120">
        <f>SUM(J34:J38)</f>
        <v>82215594.439999834</v>
      </c>
      <c r="K39" s="120">
        <f>SUM(K34:K38)</f>
        <v>88040710</v>
      </c>
      <c r="L39" s="120">
        <f>SUM(L34:L38)</f>
        <v>0</v>
      </c>
      <c r="M39" s="117">
        <f>I39-C39-D39</f>
        <v>0</v>
      </c>
      <c r="N39" s="62"/>
    </row>
    <row r="40" spans="1:14" s="62" customFormat="1" ht="18" customHeight="1">
      <c r="A40" s="122" t="s">
        <v>99</v>
      </c>
      <c r="B40" s="123" t="s">
        <v>110</v>
      </c>
      <c r="C40" s="114">
        <v>27833087</v>
      </c>
      <c r="D40" s="114">
        <f>E40+G40</f>
        <v>8153158</v>
      </c>
      <c r="E40" s="114">
        <v>8153158</v>
      </c>
      <c r="F40" s="115" t="s">
        <v>482</v>
      </c>
      <c r="G40" s="114">
        <v>0</v>
      </c>
      <c r="H40" s="115"/>
      <c r="I40" s="114">
        <v>35986245</v>
      </c>
      <c r="J40" s="114">
        <v>27860545.809999879</v>
      </c>
      <c r="K40" s="114">
        <v>35986245</v>
      </c>
      <c r="L40" s="114">
        <f>I40-K40</f>
        <v>0</v>
      </c>
      <c r="M40" s="117">
        <f t="shared" si="0"/>
        <v>0</v>
      </c>
    </row>
    <row r="41" spans="1:14" s="72" customFormat="1" ht="7.5" customHeight="1">
      <c r="A41" s="122"/>
      <c r="B41" s="125"/>
      <c r="C41" s="114"/>
      <c r="D41" s="114"/>
      <c r="E41" s="114"/>
      <c r="F41" s="115"/>
      <c r="G41" s="115"/>
      <c r="H41" s="115"/>
      <c r="I41" s="114"/>
      <c r="J41" s="114"/>
      <c r="K41" s="114"/>
      <c r="L41" s="114"/>
      <c r="M41" s="117">
        <f t="shared" si="0"/>
        <v>0</v>
      </c>
      <c r="N41" s="62"/>
    </row>
    <row r="42" spans="1:14" s="71" customFormat="1" ht="18" customHeight="1">
      <c r="A42" s="118" t="s">
        <v>351</v>
      </c>
      <c r="B42" s="119"/>
      <c r="C42" s="120">
        <v>27833087</v>
      </c>
      <c r="D42" s="120">
        <f>SUM(D40:D40)</f>
        <v>8153158</v>
      </c>
      <c r="E42" s="120">
        <v>8153158</v>
      </c>
      <c r="F42" s="121"/>
      <c r="G42" s="120">
        <f>SUM(G40:G40)</f>
        <v>0</v>
      </c>
      <c r="H42" s="121"/>
      <c r="I42" s="120">
        <f>SUM(I40:I40)</f>
        <v>35986245</v>
      </c>
      <c r="J42" s="120">
        <f>SUM(J40:J40)</f>
        <v>27860545.809999879</v>
      </c>
      <c r="K42" s="120">
        <f>SUM(K40:K40)</f>
        <v>35986245</v>
      </c>
      <c r="L42" s="120">
        <f>SUM(L40:L40)</f>
        <v>0</v>
      </c>
      <c r="M42" s="117">
        <f t="shared" si="0"/>
        <v>0</v>
      </c>
      <c r="N42" s="62"/>
    </row>
    <row r="43" spans="1:14" s="73" customFormat="1" ht="7.5" customHeight="1">
      <c r="A43" s="127"/>
      <c r="B43" s="128"/>
      <c r="C43" s="129"/>
      <c r="D43" s="129"/>
      <c r="E43" s="129"/>
      <c r="F43" s="130"/>
      <c r="G43" s="130"/>
      <c r="H43" s="130"/>
      <c r="I43" s="129"/>
      <c r="J43" s="129"/>
      <c r="K43" s="129"/>
      <c r="L43" s="129"/>
      <c r="M43" s="117">
        <f t="shared" si="0"/>
        <v>0</v>
      </c>
      <c r="N43" s="62"/>
    </row>
    <row r="44" spans="1:14" s="71" customFormat="1" ht="18" customHeight="1" thickBot="1">
      <c r="A44" s="131" t="s">
        <v>225</v>
      </c>
      <c r="B44" s="132"/>
      <c r="C44" s="133">
        <v>2233349693</v>
      </c>
      <c r="D44" s="390">
        <f>SUM(D42,D39,D33,D28,D20,D7,)</f>
        <v>86604939</v>
      </c>
      <c r="E44" s="390">
        <f>SUM(E42,E39,E33,E28,E20,E7,)</f>
        <v>95901185</v>
      </c>
      <c r="F44" s="133"/>
      <c r="G44" s="133">
        <f>SUM(G42,G39,G33,G28,G20,G7,)</f>
        <v>-9296246</v>
      </c>
      <c r="H44" s="471"/>
      <c r="I44" s="133">
        <f>SUM(I42,I39,I33,I28,I20,I7,)</f>
        <v>2319954632</v>
      </c>
      <c r="J44" s="133">
        <f>SUM(J42,J39,J33,J28,J20,J7,)</f>
        <v>2198791759.9199924</v>
      </c>
      <c r="K44" s="133">
        <f>SUM(K42,K39,K33,K28,K20,K7,)</f>
        <v>2266814809</v>
      </c>
      <c r="L44" s="133">
        <f>SUM(L42,L39,L33,L28,L20,L7,)</f>
        <v>53139823</v>
      </c>
      <c r="M44" s="117">
        <f>I44-C44-D44</f>
        <v>0</v>
      </c>
      <c r="N44" s="62"/>
    </row>
    <row r="45" spans="1:14" s="74" customFormat="1" ht="18" customHeight="1" thickTop="1">
      <c r="A45" s="134"/>
      <c r="B45" s="123"/>
      <c r="C45" s="114"/>
      <c r="D45" s="114"/>
      <c r="E45" s="114"/>
      <c r="F45" s="115"/>
      <c r="G45" s="114"/>
      <c r="H45" s="114"/>
      <c r="I45" s="114"/>
      <c r="J45" s="114"/>
      <c r="K45" s="114"/>
      <c r="L45" s="114"/>
      <c r="M45" s="117">
        <f t="shared" si="0"/>
        <v>0</v>
      </c>
      <c r="N45" s="62"/>
    </row>
    <row r="46" spans="1:14" s="74" customFormat="1" ht="18" customHeight="1">
      <c r="A46" s="135" t="s">
        <v>48</v>
      </c>
      <c r="B46" s="123"/>
      <c r="C46" s="114"/>
      <c r="D46" s="114"/>
      <c r="E46" s="114"/>
      <c r="F46" s="115"/>
      <c r="G46" s="114"/>
      <c r="H46" s="114"/>
      <c r="I46" s="114"/>
      <c r="J46" s="114"/>
      <c r="K46" s="114"/>
      <c r="L46" s="114"/>
      <c r="M46" s="117">
        <f t="shared" si="0"/>
        <v>0</v>
      </c>
      <c r="N46" s="62"/>
    </row>
    <row r="47" spans="1:14" s="74" customFormat="1" ht="18" customHeight="1">
      <c r="A47" s="126"/>
      <c r="B47" s="123" t="s">
        <v>4</v>
      </c>
      <c r="C47" s="114">
        <v>1303186351</v>
      </c>
      <c r="D47" s="114">
        <f>I47-C47</f>
        <v>-160880501</v>
      </c>
      <c r="E47" s="114">
        <v>-160880501</v>
      </c>
      <c r="F47" s="115"/>
      <c r="G47" s="114">
        <v>0</v>
      </c>
      <c r="H47" s="115"/>
      <c r="I47" s="114">
        <v>1142305850</v>
      </c>
      <c r="J47" s="114">
        <v>1173243967.4599385</v>
      </c>
      <c r="K47" s="114">
        <v>1110255561</v>
      </c>
      <c r="L47" s="114">
        <f>I47-K47</f>
        <v>32050289</v>
      </c>
      <c r="M47" s="117">
        <f t="shared" si="0"/>
        <v>0</v>
      </c>
      <c r="N47" s="62"/>
    </row>
    <row r="48" spans="1:14" s="74" customFormat="1" ht="18" customHeight="1">
      <c r="A48" s="126"/>
      <c r="B48" s="123" t="s">
        <v>5</v>
      </c>
      <c r="C48" s="114">
        <v>5685701</v>
      </c>
      <c r="D48" s="114">
        <f>I48-C48</f>
        <v>0</v>
      </c>
      <c r="E48" s="114">
        <v>0</v>
      </c>
      <c r="F48" s="115"/>
      <c r="G48" s="114">
        <v>0</v>
      </c>
      <c r="H48" s="115"/>
      <c r="I48" s="114">
        <v>5685701</v>
      </c>
      <c r="J48" s="114">
        <v>5685701</v>
      </c>
      <c r="K48" s="114">
        <v>5685701</v>
      </c>
      <c r="L48" s="114">
        <f>I48-K48</f>
        <v>0</v>
      </c>
      <c r="M48" s="117">
        <f>I48-C48-D48</f>
        <v>0</v>
      </c>
      <c r="N48" s="62"/>
    </row>
    <row r="49" spans="1:14" s="71" customFormat="1" ht="18" customHeight="1">
      <c r="A49" s="136"/>
      <c r="B49" s="137" t="s">
        <v>49</v>
      </c>
      <c r="C49" s="114">
        <v>1308872052</v>
      </c>
      <c r="D49" s="114">
        <f>SUM(D46:D48)</f>
        <v>-160880501</v>
      </c>
      <c r="E49" s="114">
        <v>-160880501</v>
      </c>
      <c r="F49" s="115"/>
      <c r="G49" s="114">
        <f>SUM(G47:G48)</f>
        <v>0</v>
      </c>
      <c r="H49" s="115"/>
      <c r="I49" s="114">
        <f>SUM(I47:I48)</f>
        <v>1147991551</v>
      </c>
      <c r="J49" s="114">
        <f>SUM(J47:J48)</f>
        <v>1178929668.4599385</v>
      </c>
      <c r="K49" s="114">
        <f>SUM(K47:K48)</f>
        <v>1115941262</v>
      </c>
      <c r="L49" s="114">
        <f>I49-K49</f>
        <v>32050289</v>
      </c>
      <c r="M49" s="117">
        <f t="shared" si="0"/>
        <v>0</v>
      </c>
      <c r="N49" s="62"/>
    </row>
    <row r="50" spans="1:14" s="74" customFormat="1" ht="18" customHeight="1">
      <c r="A50" s="126"/>
      <c r="B50" s="123" t="s">
        <v>6</v>
      </c>
      <c r="C50" s="114">
        <v>917884262</v>
      </c>
      <c r="D50" s="114">
        <f>I50-C50</f>
        <v>244366482</v>
      </c>
      <c r="E50" s="114">
        <v>253662728</v>
      </c>
      <c r="F50" s="115"/>
      <c r="G50" s="114">
        <v>-9296246</v>
      </c>
      <c r="H50" s="115"/>
      <c r="I50" s="114">
        <v>1162250744</v>
      </c>
      <c r="J50" s="114">
        <v>1008804529.6799867</v>
      </c>
      <c r="K50" s="114">
        <v>1141161210</v>
      </c>
      <c r="L50" s="114">
        <f>I50-K50</f>
        <v>21089534</v>
      </c>
      <c r="M50" s="117">
        <f t="shared" si="0"/>
        <v>0</v>
      </c>
      <c r="N50" s="62"/>
    </row>
    <row r="51" spans="1:14" s="74" customFormat="1" ht="18" customHeight="1">
      <c r="A51" s="126"/>
      <c r="B51" s="123" t="s">
        <v>34</v>
      </c>
      <c r="C51" s="114">
        <v>6593379</v>
      </c>
      <c r="D51" s="114">
        <f>I51-C51</f>
        <v>3118958</v>
      </c>
      <c r="E51" s="114">
        <v>3118958</v>
      </c>
      <c r="F51" s="115"/>
      <c r="G51" s="114">
        <v>0</v>
      </c>
      <c r="H51" s="115"/>
      <c r="I51" s="114">
        <v>9712337</v>
      </c>
      <c r="J51" s="114">
        <v>11057561.780000016</v>
      </c>
      <c r="K51" s="114">
        <v>9712337</v>
      </c>
      <c r="L51" s="114">
        <f>I51-K51</f>
        <v>0</v>
      </c>
      <c r="M51" s="117">
        <f t="shared" si="0"/>
        <v>0</v>
      </c>
      <c r="N51" s="62"/>
    </row>
    <row r="52" spans="1:14" s="71" customFormat="1" ht="18" customHeight="1">
      <c r="A52" s="118" t="s">
        <v>35</v>
      </c>
      <c r="B52" s="138"/>
      <c r="C52" s="120">
        <v>2233349693</v>
      </c>
      <c r="D52" s="120">
        <f>SUM(D49:D51)</f>
        <v>86604939</v>
      </c>
      <c r="E52" s="120">
        <f>SUM(E49:E51)</f>
        <v>95901185</v>
      </c>
      <c r="F52" s="314"/>
      <c r="G52" s="120">
        <f>SUM(G49:G51)</f>
        <v>-9296246</v>
      </c>
      <c r="H52" s="314"/>
      <c r="I52" s="120">
        <f>SUM(I49:I51)</f>
        <v>2319954632</v>
      </c>
      <c r="J52" s="120">
        <f>SUM(J49:J51)</f>
        <v>2198791759.9199252</v>
      </c>
      <c r="K52" s="120">
        <f>SUM(K49:K51)</f>
        <v>2266814809</v>
      </c>
      <c r="L52" s="120">
        <f>SUM(L49:L51)</f>
        <v>53139823</v>
      </c>
      <c r="M52" s="117">
        <f>I52-C52-D52</f>
        <v>0</v>
      </c>
      <c r="N52" s="62"/>
    </row>
    <row r="53" spans="1:14" s="74" customFormat="1" ht="18" customHeight="1">
      <c r="A53" s="139"/>
      <c r="B53" s="139"/>
      <c r="C53" s="140"/>
      <c r="D53" s="140"/>
      <c r="E53" s="140"/>
      <c r="F53" s="141"/>
      <c r="G53" s="141"/>
      <c r="H53" s="141"/>
      <c r="I53" s="140"/>
      <c r="J53" s="140"/>
      <c r="K53" s="140"/>
      <c r="L53" s="140"/>
      <c r="M53" s="142"/>
    </row>
    <row r="54" spans="1:14" s="74" customFormat="1" ht="18" customHeight="1">
      <c r="A54" s="474" t="s">
        <v>581</v>
      </c>
      <c r="B54" s="139" t="s">
        <v>593</v>
      </c>
      <c r="C54" s="140"/>
      <c r="D54" s="140"/>
      <c r="E54" s="140"/>
      <c r="F54" s="141"/>
      <c r="G54" s="141"/>
      <c r="H54" s="141"/>
      <c r="I54" s="140"/>
      <c r="J54" s="140"/>
      <c r="K54" s="140"/>
      <c r="L54" s="140"/>
      <c r="M54" s="142"/>
    </row>
    <row r="55" spans="1:14" s="69" customFormat="1" ht="18" customHeight="1">
      <c r="A55" s="145" t="s">
        <v>177</v>
      </c>
      <c r="B55" s="146" t="s">
        <v>374</v>
      </c>
      <c r="C55" s="149"/>
      <c r="D55" s="149"/>
      <c r="E55" s="149"/>
      <c r="F55" s="149"/>
      <c r="G55" s="144"/>
      <c r="H55" s="144"/>
      <c r="I55" s="143"/>
      <c r="J55" s="143"/>
      <c r="K55" s="143"/>
      <c r="L55" s="143"/>
      <c r="M55" s="64"/>
    </row>
    <row r="56" spans="1:14" s="69" customFormat="1" ht="18" customHeight="1">
      <c r="A56" s="145" t="s">
        <v>196</v>
      </c>
      <c r="B56" s="146" t="s">
        <v>375</v>
      </c>
      <c r="C56" s="149"/>
      <c r="D56" s="149"/>
      <c r="E56" s="149"/>
      <c r="F56" s="149"/>
      <c r="G56" s="144"/>
      <c r="H56" s="144"/>
      <c r="I56" s="143"/>
      <c r="J56" s="143"/>
      <c r="K56" s="143"/>
      <c r="L56" s="143"/>
      <c r="M56" s="64"/>
    </row>
    <row r="57" spans="1:14" s="69" customFormat="1" ht="18" customHeight="1">
      <c r="A57" s="145" t="s">
        <v>193</v>
      </c>
      <c r="B57" s="146" t="s">
        <v>376</v>
      </c>
      <c r="C57" s="149"/>
      <c r="D57" s="149"/>
      <c r="E57" s="149"/>
      <c r="F57" s="149"/>
      <c r="G57" s="144"/>
      <c r="H57" s="144"/>
      <c r="I57" s="143"/>
      <c r="J57" s="143"/>
      <c r="K57" s="143"/>
      <c r="L57" s="143"/>
      <c r="M57" s="64"/>
    </row>
    <row r="58" spans="1:14" s="69" customFormat="1" ht="18" customHeight="1">
      <c r="A58" s="145" t="s">
        <v>194</v>
      </c>
      <c r="B58" s="146" t="s">
        <v>377</v>
      </c>
      <c r="C58" s="147"/>
      <c r="D58" s="147"/>
      <c r="E58" s="147"/>
      <c r="F58" s="148"/>
      <c r="G58" s="144"/>
      <c r="H58" s="144"/>
      <c r="I58" s="143"/>
      <c r="J58" s="143"/>
      <c r="K58" s="143"/>
      <c r="L58" s="143"/>
      <c r="M58" s="64"/>
    </row>
    <row r="59" spans="1:14" s="69" customFormat="1" ht="18" customHeight="1">
      <c r="A59" s="145" t="s">
        <v>176</v>
      </c>
      <c r="B59" s="146" t="s">
        <v>378</v>
      </c>
      <c r="C59" s="147"/>
      <c r="D59" s="147"/>
      <c r="E59" s="147"/>
      <c r="F59" s="148"/>
      <c r="G59" s="144"/>
      <c r="H59" s="144"/>
      <c r="I59" s="143"/>
      <c r="J59" s="143"/>
      <c r="K59" s="143"/>
      <c r="L59" s="143"/>
      <c r="M59" s="64"/>
    </row>
    <row r="60" spans="1:14" s="69" customFormat="1" ht="18" customHeight="1">
      <c r="A60" s="145" t="s">
        <v>195</v>
      </c>
      <c r="B60" s="146" t="s">
        <v>435</v>
      </c>
      <c r="C60" s="147"/>
      <c r="D60" s="147"/>
      <c r="E60" s="147"/>
      <c r="F60" s="148"/>
      <c r="G60" s="144"/>
      <c r="H60" s="144"/>
      <c r="I60" s="143"/>
      <c r="J60" s="143"/>
      <c r="K60" s="143"/>
      <c r="L60" s="143"/>
      <c r="M60" s="64"/>
    </row>
    <row r="61" spans="1:14" s="69" customFormat="1" ht="18" customHeight="1">
      <c r="A61" s="145" t="s">
        <v>157</v>
      </c>
      <c r="B61" s="146" t="s">
        <v>379</v>
      </c>
      <c r="C61" s="149"/>
      <c r="D61" s="149"/>
      <c r="E61" s="149"/>
      <c r="F61" s="149"/>
      <c r="G61" s="144"/>
      <c r="H61" s="144"/>
      <c r="I61" s="143"/>
      <c r="J61" s="143"/>
      <c r="K61" s="143"/>
      <c r="L61" s="143"/>
      <c r="M61" s="64"/>
    </row>
    <row r="62" spans="1:14" s="69" customFormat="1" ht="18" customHeight="1">
      <c r="A62" s="145" t="s">
        <v>297</v>
      </c>
      <c r="B62" s="146" t="s">
        <v>395</v>
      </c>
      <c r="C62" s="149"/>
      <c r="D62" s="149"/>
      <c r="E62" s="149"/>
      <c r="F62" s="149"/>
      <c r="G62" s="144"/>
      <c r="H62" s="144"/>
      <c r="I62" s="143"/>
      <c r="J62" s="143"/>
      <c r="K62" s="143"/>
      <c r="L62" s="143"/>
      <c r="M62" s="64"/>
    </row>
    <row r="63" spans="1:14" s="69" customFormat="1" ht="18" customHeight="1">
      <c r="A63" s="145" t="s">
        <v>296</v>
      </c>
      <c r="B63" s="146" t="s">
        <v>396</v>
      </c>
      <c r="C63" s="149"/>
      <c r="D63" s="149"/>
      <c r="E63" s="149"/>
      <c r="F63" s="149"/>
      <c r="G63" s="144"/>
      <c r="H63" s="144"/>
      <c r="I63" s="143"/>
      <c r="J63" s="143"/>
      <c r="K63" s="143"/>
      <c r="L63" s="143"/>
      <c r="M63" s="64"/>
    </row>
    <row r="64" spans="1:14" s="69" customFormat="1" ht="18" customHeight="1">
      <c r="A64" s="145" t="s">
        <v>197</v>
      </c>
      <c r="B64" s="146" t="s">
        <v>397</v>
      </c>
      <c r="C64" s="149"/>
      <c r="D64" s="149"/>
      <c r="E64" s="149"/>
      <c r="F64" s="149"/>
      <c r="G64" s="144"/>
      <c r="H64" s="144"/>
      <c r="I64" s="143"/>
      <c r="J64" s="143"/>
      <c r="K64" s="143"/>
      <c r="L64" s="143"/>
      <c r="M64" s="64"/>
    </row>
    <row r="65" spans="1:13" s="69" customFormat="1" ht="18" customHeight="1">
      <c r="A65" s="145" t="s">
        <v>236</v>
      </c>
      <c r="B65" s="146" t="s">
        <v>434</v>
      </c>
      <c r="C65" s="147"/>
      <c r="D65" s="147"/>
      <c r="E65" s="147"/>
      <c r="F65" s="148"/>
      <c r="G65" s="144"/>
      <c r="H65" s="144"/>
      <c r="I65" s="143"/>
      <c r="J65" s="143"/>
      <c r="K65" s="143"/>
      <c r="L65" s="143"/>
      <c r="M65" s="64"/>
    </row>
    <row r="66" spans="1:13" s="69" customFormat="1" ht="18" customHeight="1">
      <c r="A66" s="145" t="s">
        <v>349</v>
      </c>
      <c r="B66" s="146" t="s">
        <v>437</v>
      </c>
      <c r="C66" s="147"/>
      <c r="D66" s="147"/>
      <c r="E66" s="147"/>
      <c r="F66" s="148"/>
      <c r="G66" s="144"/>
      <c r="H66" s="144"/>
      <c r="I66" s="143"/>
      <c r="J66" s="143"/>
      <c r="K66" s="143"/>
      <c r="L66" s="143"/>
      <c r="M66" s="64"/>
    </row>
    <row r="67" spans="1:13" s="69" customFormat="1" ht="18" customHeight="1">
      <c r="A67" s="145" t="s">
        <v>363</v>
      </c>
      <c r="B67" s="146" t="s">
        <v>460</v>
      </c>
      <c r="C67" s="147"/>
      <c r="D67" s="147"/>
      <c r="E67" s="147"/>
      <c r="F67" s="148"/>
      <c r="G67" s="144"/>
      <c r="H67" s="144"/>
      <c r="I67" s="143"/>
      <c r="J67" s="143"/>
      <c r="K67" s="143"/>
      <c r="L67" s="143"/>
      <c r="M67" s="64"/>
    </row>
    <row r="68" spans="1:13" s="69" customFormat="1" ht="18" customHeight="1">
      <c r="A68" s="145" t="s">
        <v>304</v>
      </c>
      <c r="B68" s="146" t="s">
        <v>461</v>
      </c>
      <c r="C68" s="147"/>
      <c r="D68" s="147"/>
      <c r="E68" s="147"/>
      <c r="F68" s="148"/>
      <c r="G68" s="144"/>
      <c r="H68" s="144"/>
      <c r="I68" s="143"/>
      <c r="J68" s="143"/>
      <c r="K68" s="143"/>
      <c r="L68" s="143"/>
      <c r="M68" s="64"/>
    </row>
    <row r="69" spans="1:13" s="69" customFormat="1" ht="18" customHeight="1">
      <c r="A69" s="145" t="s">
        <v>202</v>
      </c>
      <c r="B69" s="146" t="s">
        <v>462</v>
      </c>
      <c r="C69" s="147"/>
      <c r="D69" s="147"/>
      <c r="E69" s="147"/>
      <c r="F69" s="148"/>
      <c r="G69" s="144"/>
      <c r="H69" s="144"/>
      <c r="I69" s="143"/>
      <c r="J69" s="143"/>
      <c r="K69" s="143"/>
      <c r="L69" s="143"/>
      <c r="M69" s="64"/>
    </row>
    <row r="70" spans="1:13" s="69" customFormat="1" ht="18" customHeight="1">
      <c r="A70" s="145" t="s">
        <v>237</v>
      </c>
      <c r="B70" s="146" t="s">
        <v>459</v>
      </c>
      <c r="C70" s="147"/>
      <c r="D70" s="147"/>
      <c r="E70" s="147"/>
      <c r="F70" s="148"/>
      <c r="G70" s="144"/>
      <c r="H70" s="144"/>
      <c r="I70" s="143"/>
      <c r="J70" s="143"/>
      <c r="K70" s="143"/>
      <c r="L70" s="143"/>
      <c r="M70" s="64"/>
    </row>
    <row r="71" spans="1:13" s="69" customFormat="1" ht="18" customHeight="1">
      <c r="A71" s="145" t="s">
        <v>366</v>
      </c>
      <c r="B71" s="146" t="s">
        <v>463</v>
      </c>
      <c r="C71" s="76"/>
      <c r="D71" s="76"/>
      <c r="E71" s="76"/>
      <c r="F71" s="77"/>
      <c r="G71" s="77"/>
      <c r="H71" s="77"/>
      <c r="I71" s="76"/>
      <c r="J71" s="76"/>
      <c r="K71" s="76"/>
      <c r="L71" s="76"/>
      <c r="M71" s="68"/>
    </row>
    <row r="72" spans="1:13" s="69" customFormat="1" ht="18" customHeight="1">
      <c r="A72" s="145" t="s">
        <v>477</v>
      </c>
      <c r="B72" s="146" t="s">
        <v>479</v>
      </c>
      <c r="C72" s="76"/>
      <c r="D72" s="76"/>
      <c r="E72" s="76"/>
      <c r="F72" s="77"/>
      <c r="G72" s="77"/>
      <c r="H72" s="77"/>
      <c r="I72" s="76"/>
      <c r="J72" s="76"/>
      <c r="K72" s="76"/>
      <c r="L72" s="76"/>
      <c r="M72" s="68"/>
    </row>
    <row r="73" spans="1:13" s="69" customFormat="1" ht="18" customHeight="1">
      <c r="A73" s="145" t="s">
        <v>478</v>
      </c>
      <c r="B73" s="146" t="s">
        <v>480</v>
      </c>
      <c r="C73" s="76"/>
      <c r="D73" s="76"/>
      <c r="E73" s="76"/>
      <c r="F73" s="77"/>
      <c r="G73" s="77"/>
      <c r="H73" s="77"/>
      <c r="I73" s="76"/>
      <c r="J73" s="76"/>
      <c r="K73" s="76"/>
      <c r="L73" s="76"/>
      <c r="M73" s="68"/>
    </row>
    <row r="74" spans="1:13" s="69" customFormat="1" ht="18" customHeight="1">
      <c r="A74" s="145" t="s">
        <v>467</v>
      </c>
      <c r="B74" s="146" t="s">
        <v>468</v>
      </c>
      <c r="C74" s="76"/>
      <c r="D74" s="76"/>
      <c r="E74" s="76"/>
      <c r="F74" s="77"/>
      <c r="G74" s="77"/>
      <c r="H74" s="77"/>
      <c r="I74" s="76"/>
      <c r="J74" s="76"/>
      <c r="K74" s="76"/>
      <c r="L74" s="76"/>
      <c r="M74" s="68"/>
    </row>
    <row r="75" spans="1:13" s="69" customFormat="1" ht="18" customHeight="1">
      <c r="A75" s="386" t="s">
        <v>481</v>
      </c>
      <c r="B75" s="146" t="s">
        <v>483</v>
      </c>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461F1-E68E-4D01-91DB-015F0685881A}">
  <dimension ref="A1:J48"/>
  <sheetViews>
    <sheetView zoomScale="82" zoomScaleNormal="82" workbookViewId="0">
      <selection activeCell="D12" sqref="D12"/>
    </sheetView>
  </sheetViews>
  <sheetFormatPr defaultColWidth="13.33203125" defaultRowHeight="12.6"/>
  <cols>
    <col min="1" max="1" width="15.5546875" style="585" customWidth="1"/>
    <col min="2" max="2" width="50.44140625" style="585" customWidth="1"/>
    <col min="3" max="3" width="17.77734375" style="585" customWidth="1"/>
    <col min="4" max="4" width="15.33203125" style="585" customWidth="1"/>
    <col min="5" max="5" width="15.5546875" style="585" customWidth="1"/>
    <col min="6" max="6" width="14.33203125" style="585" customWidth="1"/>
    <col min="7" max="7" width="14.5546875" style="585" customWidth="1"/>
    <col min="8" max="8" width="15.109375" style="585" customWidth="1"/>
    <col min="9" max="9" width="16.77734375" style="585" customWidth="1"/>
    <col min="10" max="16384" width="13.33203125" style="585"/>
  </cols>
  <sheetData>
    <row r="1" spans="1:9" ht="15.6">
      <c r="A1" s="612" t="s">
        <v>3</v>
      </c>
      <c r="B1" s="612"/>
      <c r="C1" s="612"/>
      <c r="D1" s="612"/>
      <c r="E1" s="612"/>
      <c r="F1" s="612"/>
      <c r="G1" s="612"/>
      <c r="H1" s="612"/>
      <c r="I1" s="612"/>
    </row>
    <row r="2" spans="1:9" ht="15.6">
      <c r="A2" s="612" t="s">
        <v>562</v>
      </c>
      <c r="B2" s="612"/>
      <c r="C2" s="612"/>
      <c r="D2" s="612"/>
      <c r="E2" s="612"/>
      <c r="F2" s="612"/>
      <c r="G2" s="612"/>
      <c r="H2" s="612"/>
      <c r="I2" s="612"/>
    </row>
    <row r="3" spans="1:9" ht="15.6">
      <c r="A3" s="613" t="s">
        <v>606</v>
      </c>
      <c r="B3" s="613"/>
      <c r="C3" s="613"/>
      <c r="D3" s="613"/>
      <c r="E3" s="613"/>
      <c r="F3" s="613"/>
      <c r="G3" s="613"/>
      <c r="H3" s="613"/>
      <c r="I3" s="613"/>
    </row>
    <row r="4" spans="1:9" ht="12" customHeight="1">
      <c r="A4" s="586"/>
      <c r="B4" s="587"/>
      <c r="C4" s="475"/>
      <c r="D4" s="476"/>
      <c r="E4" s="475"/>
      <c r="F4" s="475"/>
      <c r="G4" s="475"/>
      <c r="H4" s="475"/>
      <c r="I4" s="447"/>
    </row>
    <row r="5" spans="1:9" ht="46.8">
      <c r="A5" s="588" t="s">
        <v>1</v>
      </c>
      <c r="B5" s="589" t="s">
        <v>0</v>
      </c>
      <c r="C5" s="446" t="s">
        <v>182</v>
      </c>
      <c r="D5" s="445" t="s">
        <v>30</v>
      </c>
      <c r="E5" s="444" t="s">
        <v>234</v>
      </c>
      <c r="F5" s="444" t="s">
        <v>31</v>
      </c>
      <c r="G5" s="444" t="s">
        <v>129</v>
      </c>
      <c r="H5" s="444" t="s">
        <v>130</v>
      </c>
      <c r="I5" s="443" t="s">
        <v>169</v>
      </c>
    </row>
    <row r="6" spans="1:9" ht="15.6">
      <c r="A6" s="442" t="s">
        <v>22</v>
      </c>
      <c r="B6" s="590" t="s">
        <v>7</v>
      </c>
      <c r="C6" s="440">
        <v>488.80000000000013</v>
      </c>
      <c r="D6" s="440">
        <v>-0.60000000000002274</v>
      </c>
      <c r="E6" s="440">
        <v>488.2000000000001</v>
      </c>
      <c r="F6" s="434">
        <v>1</v>
      </c>
      <c r="G6" s="440">
        <v>456.125</v>
      </c>
      <c r="H6" s="440">
        <v>450.7</v>
      </c>
      <c r="I6" s="440">
        <v>37.500000000000114</v>
      </c>
    </row>
    <row r="7" spans="1:9" ht="15.6">
      <c r="A7" s="591" t="s">
        <v>288</v>
      </c>
      <c r="B7" s="592"/>
      <c r="C7" s="431">
        <v>488.80000000000013</v>
      </c>
      <c r="D7" s="431">
        <v>-0.60000000000002274</v>
      </c>
      <c r="E7" s="431">
        <v>488.2000000000001</v>
      </c>
      <c r="F7" s="438"/>
      <c r="G7" s="431">
        <v>456.125</v>
      </c>
      <c r="H7" s="431">
        <v>450.7</v>
      </c>
      <c r="I7" s="431">
        <v>37.500000000000114</v>
      </c>
    </row>
    <row r="8" spans="1:9" ht="15.6">
      <c r="A8" s="433" t="s">
        <v>23</v>
      </c>
      <c r="B8" s="590" t="s">
        <v>8</v>
      </c>
      <c r="C8" s="440">
        <v>10173.4</v>
      </c>
      <c r="D8" s="440">
        <v>125.5</v>
      </c>
      <c r="E8" s="440">
        <v>10298.9</v>
      </c>
      <c r="F8" s="441" t="s">
        <v>570</v>
      </c>
      <c r="G8" s="440">
        <v>9613.7374999999993</v>
      </c>
      <c r="H8" s="440">
        <v>9628.9</v>
      </c>
      <c r="I8" s="440">
        <v>670</v>
      </c>
    </row>
    <row r="9" spans="1:9" ht="15.6">
      <c r="A9" s="433" t="s">
        <v>24</v>
      </c>
      <c r="B9" s="590" t="s">
        <v>9</v>
      </c>
      <c r="C9" s="432">
        <v>621.4</v>
      </c>
      <c r="D9" s="432">
        <v>2.9000000000000909</v>
      </c>
      <c r="E9" s="432">
        <v>624.30000000000007</v>
      </c>
      <c r="F9" s="439" t="s">
        <v>571</v>
      </c>
      <c r="G9" s="432">
        <v>622.61249999999995</v>
      </c>
      <c r="H9" s="432">
        <v>603</v>
      </c>
      <c r="I9" s="432">
        <v>21.300000000000068</v>
      </c>
    </row>
    <row r="10" spans="1:9" ht="15.6">
      <c r="A10" s="433" t="s">
        <v>25</v>
      </c>
      <c r="B10" s="590" t="s">
        <v>159</v>
      </c>
      <c r="C10" s="432">
        <v>0</v>
      </c>
      <c r="D10" s="432">
        <v>0</v>
      </c>
      <c r="E10" s="432">
        <v>0</v>
      </c>
      <c r="F10" s="439" t="s">
        <v>143</v>
      </c>
      <c r="G10" s="432">
        <v>0</v>
      </c>
      <c r="H10" s="432">
        <v>0</v>
      </c>
      <c r="I10" s="432">
        <v>0</v>
      </c>
    </row>
    <row r="11" spans="1:9" ht="15.6">
      <c r="A11" s="433" t="s">
        <v>26</v>
      </c>
      <c r="B11" s="590" t="s">
        <v>10</v>
      </c>
      <c r="C11" s="432">
        <v>0</v>
      </c>
      <c r="D11" s="432">
        <v>0</v>
      </c>
      <c r="E11" s="432">
        <v>0</v>
      </c>
      <c r="F11" s="437"/>
      <c r="G11" s="432">
        <v>0</v>
      </c>
      <c r="H11" s="432">
        <v>0</v>
      </c>
      <c r="I11" s="432">
        <v>0</v>
      </c>
    </row>
    <row r="12" spans="1:9" ht="15.6">
      <c r="A12" s="433" t="s">
        <v>27</v>
      </c>
      <c r="B12" s="590" t="s">
        <v>161</v>
      </c>
      <c r="C12" s="432">
        <v>0</v>
      </c>
      <c r="D12" s="432">
        <v>0</v>
      </c>
      <c r="E12" s="432">
        <v>0</v>
      </c>
      <c r="F12" s="437"/>
      <c r="G12" s="432">
        <v>0</v>
      </c>
      <c r="H12" s="432">
        <v>0</v>
      </c>
      <c r="I12" s="432">
        <v>0</v>
      </c>
    </row>
    <row r="13" spans="1:9" ht="15.6">
      <c r="A13" s="433" t="s">
        <v>100</v>
      </c>
      <c r="B13" s="590" t="s">
        <v>11</v>
      </c>
      <c r="C13" s="432">
        <v>0</v>
      </c>
      <c r="D13" s="432">
        <v>0</v>
      </c>
      <c r="E13" s="432">
        <v>0</v>
      </c>
      <c r="F13" s="437"/>
      <c r="G13" s="432">
        <v>0</v>
      </c>
      <c r="H13" s="432">
        <v>0</v>
      </c>
      <c r="I13" s="432">
        <v>0</v>
      </c>
    </row>
    <row r="14" spans="1:9" ht="15.6">
      <c r="A14" s="433" t="s">
        <v>101</v>
      </c>
      <c r="B14" s="590" t="s">
        <v>170</v>
      </c>
      <c r="C14" s="432">
        <v>0</v>
      </c>
      <c r="D14" s="432">
        <v>0</v>
      </c>
      <c r="E14" s="432">
        <v>0</v>
      </c>
      <c r="F14" s="437"/>
      <c r="G14" s="432">
        <v>0</v>
      </c>
      <c r="H14" s="432">
        <v>0</v>
      </c>
      <c r="I14" s="432">
        <v>0</v>
      </c>
    </row>
    <row r="15" spans="1:9" ht="15.6">
      <c r="A15" s="433" t="s">
        <v>102</v>
      </c>
      <c r="B15" s="590" t="s">
        <v>12</v>
      </c>
      <c r="C15" s="432">
        <v>0</v>
      </c>
      <c r="D15" s="432">
        <v>0</v>
      </c>
      <c r="E15" s="432">
        <v>0</v>
      </c>
      <c r="F15" s="437"/>
      <c r="G15" s="432">
        <v>0</v>
      </c>
      <c r="H15" s="432">
        <v>0</v>
      </c>
      <c r="I15" s="432">
        <v>0</v>
      </c>
    </row>
    <row r="16" spans="1:9" ht="15.6">
      <c r="A16" s="433" t="s">
        <v>103</v>
      </c>
      <c r="B16" s="590" t="s">
        <v>13</v>
      </c>
      <c r="C16" s="432">
        <v>0</v>
      </c>
      <c r="D16" s="432">
        <v>0</v>
      </c>
      <c r="E16" s="432">
        <v>0</v>
      </c>
      <c r="F16" s="437"/>
      <c r="G16" s="432">
        <v>0</v>
      </c>
      <c r="H16" s="432">
        <v>0</v>
      </c>
      <c r="I16" s="432">
        <v>0</v>
      </c>
    </row>
    <row r="17" spans="1:9" ht="15.6">
      <c r="A17" s="433" t="s">
        <v>104</v>
      </c>
      <c r="B17" s="590" t="s">
        <v>123</v>
      </c>
      <c r="C17" s="432">
        <v>0</v>
      </c>
      <c r="D17" s="432">
        <v>0</v>
      </c>
      <c r="E17" s="432">
        <v>0</v>
      </c>
      <c r="F17" s="437"/>
      <c r="G17" s="432">
        <v>0</v>
      </c>
      <c r="H17" s="432">
        <v>0</v>
      </c>
      <c r="I17" s="432">
        <v>0</v>
      </c>
    </row>
    <row r="18" spans="1:9" ht="15.6">
      <c r="A18" s="433" t="s">
        <v>105</v>
      </c>
      <c r="B18" s="590" t="s">
        <v>166</v>
      </c>
      <c r="C18" s="432">
        <v>0</v>
      </c>
      <c r="D18" s="432">
        <v>0</v>
      </c>
      <c r="E18" s="432">
        <v>0</v>
      </c>
      <c r="F18" s="437"/>
      <c r="G18" s="432">
        <v>0</v>
      </c>
      <c r="H18" s="432">
        <v>0</v>
      </c>
      <c r="I18" s="432">
        <v>0</v>
      </c>
    </row>
    <row r="19" spans="1:9" ht="15.6">
      <c r="A19" s="591" t="s">
        <v>289</v>
      </c>
      <c r="B19" s="592"/>
      <c r="C19" s="431">
        <v>10794.8</v>
      </c>
      <c r="D19" s="431">
        <v>128.40000000000009</v>
      </c>
      <c r="E19" s="431">
        <v>10923.199999999999</v>
      </c>
      <c r="F19" s="438"/>
      <c r="G19" s="431">
        <v>10236.349999999999</v>
      </c>
      <c r="H19" s="431">
        <v>10231.9</v>
      </c>
      <c r="I19" s="431">
        <v>691.30000000000007</v>
      </c>
    </row>
    <row r="20" spans="1:9" ht="15.6">
      <c r="A20" s="433" t="s">
        <v>28</v>
      </c>
      <c r="B20" s="590" t="s">
        <v>14</v>
      </c>
      <c r="C20" s="432">
        <v>0</v>
      </c>
      <c r="D20" s="432">
        <v>0</v>
      </c>
      <c r="E20" s="432">
        <v>0</v>
      </c>
      <c r="F20" s="437"/>
      <c r="G20" s="432">
        <v>0</v>
      </c>
      <c r="H20" s="432">
        <v>0</v>
      </c>
      <c r="I20" s="432">
        <v>0</v>
      </c>
    </row>
    <row r="21" spans="1:9" ht="15.6">
      <c r="A21" s="433" t="s">
        <v>106</v>
      </c>
      <c r="B21" s="590" t="s">
        <v>15</v>
      </c>
      <c r="C21" s="432">
        <v>0</v>
      </c>
      <c r="D21" s="432">
        <v>0</v>
      </c>
      <c r="E21" s="432">
        <v>0</v>
      </c>
      <c r="F21" s="437"/>
      <c r="G21" s="432">
        <v>0</v>
      </c>
      <c r="H21" s="432">
        <v>0</v>
      </c>
      <c r="I21" s="432">
        <v>0</v>
      </c>
    </row>
    <row r="22" spans="1:9" ht="15.6">
      <c r="A22" s="433" t="s">
        <v>107</v>
      </c>
      <c r="B22" s="590" t="s">
        <v>16</v>
      </c>
      <c r="C22" s="432">
        <v>2</v>
      </c>
      <c r="D22" s="432">
        <v>0</v>
      </c>
      <c r="E22" s="432">
        <v>2</v>
      </c>
      <c r="F22" s="437"/>
      <c r="G22" s="432">
        <v>3</v>
      </c>
      <c r="H22" s="432">
        <v>3</v>
      </c>
      <c r="I22" s="432">
        <v>-1</v>
      </c>
    </row>
    <row r="23" spans="1:9" ht="15.6">
      <c r="A23" s="433" t="s">
        <v>93</v>
      </c>
      <c r="B23" s="590" t="s">
        <v>127</v>
      </c>
      <c r="C23" s="432">
        <v>6</v>
      </c>
      <c r="D23" s="432">
        <v>1.0999999999999996</v>
      </c>
      <c r="E23" s="432">
        <v>7.1</v>
      </c>
      <c r="F23" s="434">
        <v>1</v>
      </c>
      <c r="G23" s="432">
        <v>9.0350269974590631</v>
      </c>
      <c r="H23" s="432">
        <v>7.4836956521739131</v>
      </c>
      <c r="I23" s="432">
        <v>-0.38369565217391344</v>
      </c>
    </row>
    <row r="24" spans="1:9" ht="15.6">
      <c r="A24" s="433" t="s">
        <v>94</v>
      </c>
      <c r="B24" s="590" t="s">
        <v>290</v>
      </c>
      <c r="C24" s="432">
        <v>0</v>
      </c>
      <c r="D24" s="432">
        <v>0</v>
      </c>
      <c r="E24" s="432">
        <v>0</v>
      </c>
      <c r="F24" s="437"/>
      <c r="G24" s="432">
        <v>0</v>
      </c>
      <c r="H24" s="432">
        <v>0</v>
      </c>
      <c r="I24" s="432">
        <v>0</v>
      </c>
    </row>
    <row r="25" spans="1:9" ht="15.6">
      <c r="A25" s="433" t="s">
        <v>108</v>
      </c>
      <c r="B25" s="590" t="s">
        <v>128</v>
      </c>
      <c r="C25" s="432">
        <v>57.1</v>
      </c>
      <c r="D25" s="432">
        <v>0.5</v>
      </c>
      <c r="E25" s="432">
        <v>57.6</v>
      </c>
      <c r="F25" s="434">
        <v>1</v>
      </c>
      <c r="G25" s="432">
        <v>55.6</v>
      </c>
      <c r="H25" s="432">
        <v>53.1</v>
      </c>
      <c r="I25" s="432">
        <v>4.5</v>
      </c>
    </row>
    <row r="26" spans="1:9" ht="15.6">
      <c r="A26" s="591" t="s">
        <v>291</v>
      </c>
      <c r="B26" s="592"/>
      <c r="C26" s="431">
        <v>65.099999999999994</v>
      </c>
      <c r="D26" s="431">
        <v>1.5999999999999996</v>
      </c>
      <c r="E26" s="431">
        <v>66.7</v>
      </c>
      <c r="F26" s="438"/>
      <c r="G26" s="431">
        <v>67.635026997459065</v>
      </c>
      <c r="H26" s="431">
        <v>63.583695652173915</v>
      </c>
      <c r="I26" s="431">
        <v>3.1163043478260866</v>
      </c>
    </row>
    <row r="27" spans="1:9" ht="15.6">
      <c r="A27" s="433" t="s">
        <v>95</v>
      </c>
      <c r="B27" s="590" t="s">
        <v>17</v>
      </c>
      <c r="C27" s="432">
        <v>802.8</v>
      </c>
      <c r="D27" s="432">
        <v>2.8000000000000682</v>
      </c>
      <c r="E27" s="432">
        <v>805.6</v>
      </c>
      <c r="F27" s="434">
        <v>1</v>
      </c>
      <c r="G27" s="432">
        <v>741.42499999999995</v>
      </c>
      <c r="H27" s="432">
        <v>742</v>
      </c>
      <c r="I27" s="432">
        <v>63.600000000000023</v>
      </c>
    </row>
    <row r="28" spans="1:9" ht="15.6">
      <c r="A28" s="433" t="s">
        <v>96</v>
      </c>
      <c r="B28" s="590" t="s">
        <v>109</v>
      </c>
      <c r="C28" s="432">
        <v>46</v>
      </c>
      <c r="D28" s="432">
        <v>-4.0999999999999943</v>
      </c>
      <c r="E28" s="432">
        <v>41.900000000000006</v>
      </c>
      <c r="F28" s="434">
        <v>1</v>
      </c>
      <c r="G28" s="432">
        <v>49.266705702840895</v>
      </c>
      <c r="H28" s="432">
        <v>50.93887468030691</v>
      </c>
      <c r="I28" s="432">
        <v>-9.038874680306904</v>
      </c>
    </row>
    <row r="29" spans="1:9" ht="15.6">
      <c r="A29" s="433" t="s">
        <v>97</v>
      </c>
      <c r="B29" s="590" t="s">
        <v>171</v>
      </c>
      <c r="C29" s="432">
        <v>0</v>
      </c>
      <c r="D29" s="432">
        <v>0</v>
      </c>
      <c r="E29" s="432">
        <v>0</v>
      </c>
      <c r="F29" s="437"/>
      <c r="G29" s="432">
        <v>0</v>
      </c>
      <c r="H29" s="432">
        <v>0</v>
      </c>
      <c r="I29" s="432">
        <v>0</v>
      </c>
    </row>
    <row r="30" spans="1:9" ht="15.6">
      <c r="A30" s="614" t="s">
        <v>292</v>
      </c>
      <c r="B30" s="615"/>
      <c r="C30" s="435">
        <v>848.8</v>
      </c>
      <c r="D30" s="435">
        <v>-1.2999999999999261</v>
      </c>
      <c r="E30" s="435">
        <v>847.5</v>
      </c>
      <c r="F30" s="436"/>
      <c r="G30" s="435">
        <v>790.69170570284086</v>
      </c>
      <c r="H30" s="435">
        <v>792.93887468030687</v>
      </c>
      <c r="I30" s="435">
        <v>54.561125319693119</v>
      </c>
    </row>
    <row r="31" spans="1:9" ht="15.6">
      <c r="A31" s="433" t="s">
        <v>98</v>
      </c>
      <c r="B31" s="593" t="s">
        <v>18</v>
      </c>
      <c r="C31" s="432">
        <v>362.8</v>
      </c>
      <c r="D31" s="432">
        <v>2.5</v>
      </c>
      <c r="E31" s="432">
        <v>365.3</v>
      </c>
      <c r="F31" s="434" t="s">
        <v>630</v>
      </c>
      <c r="G31" s="432">
        <v>314.84999999999991</v>
      </c>
      <c r="H31" s="432">
        <v>314.89999999999998</v>
      </c>
      <c r="I31" s="432">
        <v>50.400000000000034</v>
      </c>
    </row>
    <row r="32" spans="1:9" ht="15.6">
      <c r="A32" s="433" t="s">
        <v>252</v>
      </c>
      <c r="B32" s="590" t="s">
        <v>19</v>
      </c>
      <c r="C32" s="432">
        <v>191</v>
      </c>
      <c r="D32" s="432">
        <v>-0.80000000000001137</v>
      </c>
      <c r="E32" s="432">
        <v>190.2</v>
      </c>
      <c r="F32" s="434">
        <v>1</v>
      </c>
      <c r="G32" s="432">
        <v>180.375</v>
      </c>
      <c r="H32" s="432">
        <v>178.9</v>
      </c>
      <c r="I32" s="432">
        <v>11.299999999999983</v>
      </c>
    </row>
    <row r="33" spans="1:10" ht="15.6">
      <c r="A33" s="433" t="s">
        <v>253</v>
      </c>
      <c r="B33" s="590" t="s">
        <v>20</v>
      </c>
      <c r="C33" s="432">
        <v>19.8</v>
      </c>
      <c r="D33" s="432">
        <v>-2</v>
      </c>
      <c r="E33" s="432">
        <v>17.8</v>
      </c>
      <c r="F33" s="434">
        <v>1</v>
      </c>
      <c r="G33" s="432">
        <v>16.475000000000001</v>
      </c>
      <c r="H33" s="432">
        <v>15.9</v>
      </c>
      <c r="I33" s="432">
        <v>1.9000000000000004</v>
      </c>
    </row>
    <row r="34" spans="1:10" ht="15.6">
      <c r="A34" s="433" t="s">
        <v>254</v>
      </c>
      <c r="B34" s="590" t="s">
        <v>21</v>
      </c>
      <c r="C34" s="432">
        <v>234.40000000000003</v>
      </c>
      <c r="D34" s="432">
        <v>2.6999999999999886</v>
      </c>
      <c r="E34" s="432">
        <v>237.10000000000002</v>
      </c>
      <c r="F34" s="434">
        <v>1</v>
      </c>
      <c r="G34" s="432">
        <v>242.96604253512726</v>
      </c>
      <c r="H34" s="432">
        <v>241.08196296224722</v>
      </c>
      <c r="I34" s="432">
        <v>-3.981962962247195</v>
      </c>
    </row>
    <row r="35" spans="1:10" ht="15.6">
      <c r="A35" s="591" t="s">
        <v>293</v>
      </c>
      <c r="B35" s="594"/>
      <c r="C35" s="431">
        <v>808</v>
      </c>
      <c r="D35" s="431">
        <v>2.3999999999999773</v>
      </c>
      <c r="E35" s="431">
        <v>810.4</v>
      </c>
      <c r="F35" s="431"/>
      <c r="G35" s="431">
        <v>754.66604253512719</v>
      </c>
      <c r="H35" s="431">
        <v>750.78196296224712</v>
      </c>
      <c r="I35" s="431">
        <v>59.618037037752821</v>
      </c>
    </row>
    <row r="36" spans="1:10" ht="15.6">
      <c r="A36" s="433" t="s">
        <v>99</v>
      </c>
      <c r="B36" s="590" t="s">
        <v>172</v>
      </c>
      <c r="C36" s="432">
        <v>0</v>
      </c>
      <c r="D36" s="432">
        <v>0</v>
      </c>
      <c r="E36" s="432">
        <v>0</v>
      </c>
      <c r="F36" s="432"/>
      <c r="G36" s="432">
        <v>52.785917652301009</v>
      </c>
      <c r="H36" s="432">
        <v>44.613944966141517</v>
      </c>
      <c r="I36" s="432">
        <v>-44.613944966141517</v>
      </c>
    </row>
    <row r="37" spans="1:10" ht="15.6">
      <c r="A37" s="591" t="s">
        <v>294</v>
      </c>
      <c r="B37" s="594"/>
      <c r="C37" s="431">
        <v>0</v>
      </c>
      <c r="D37" s="431">
        <v>0</v>
      </c>
      <c r="E37" s="431">
        <v>0</v>
      </c>
      <c r="F37" s="431"/>
      <c r="G37" s="431">
        <v>52.785917652301009</v>
      </c>
      <c r="H37" s="431">
        <v>44.613944966141517</v>
      </c>
      <c r="I37" s="431">
        <v>-44.613944966141517</v>
      </c>
    </row>
    <row r="38" spans="1:10" ht="15.6">
      <c r="A38" s="433" t="s">
        <v>525</v>
      </c>
      <c r="B38" s="590" t="s">
        <v>561</v>
      </c>
      <c r="C38" s="432">
        <v>5.5511151231257827E-17</v>
      </c>
      <c r="D38" s="432">
        <v>74.5</v>
      </c>
      <c r="E38" s="432">
        <v>74.5</v>
      </c>
      <c r="F38" s="455" t="s">
        <v>572</v>
      </c>
      <c r="G38" s="432">
        <v>41.275000000000006</v>
      </c>
      <c r="H38" s="432">
        <v>41.9</v>
      </c>
      <c r="I38" s="432">
        <v>32.6</v>
      </c>
    </row>
    <row r="39" spans="1:10" ht="15.6">
      <c r="A39" s="591" t="s">
        <v>560</v>
      </c>
      <c r="B39" s="594"/>
      <c r="C39" s="431">
        <v>5.5511151231257827E-17</v>
      </c>
      <c r="D39" s="431">
        <v>74.5</v>
      </c>
      <c r="E39" s="431">
        <v>74.5</v>
      </c>
      <c r="F39" s="431"/>
      <c r="G39" s="431">
        <v>41.275000000000006</v>
      </c>
      <c r="H39" s="431">
        <v>41.9</v>
      </c>
      <c r="I39" s="431">
        <v>32.6</v>
      </c>
    </row>
    <row r="40" spans="1:10" ht="15.6">
      <c r="A40" s="595" t="s">
        <v>2</v>
      </c>
      <c r="B40" s="594"/>
      <c r="C40" s="431">
        <v>13005.499999999998</v>
      </c>
      <c r="D40" s="431">
        <v>205.00000000000011</v>
      </c>
      <c r="E40" s="431">
        <v>13210.5</v>
      </c>
      <c r="F40" s="431"/>
      <c r="G40" s="431">
        <v>12399.528692887727</v>
      </c>
      <c r="H40" s="431">
        <v>12376.41847826087</v>
      </c>
      <c r="I40" s="431">
        <v>834.08152173913072</v>
      </c>
      <c r="J40" s="596"/>
    </row>
    <row r="41" spans="1:10" ht="15.6">
      <c r="A41" s="597"/>
      <c r="B41" s="597"/>
      <c r="C41" s="430"/>
      <c r="D41" s="430"/>
      <c r="E41" s="430">
        <v>0</v>
      </c>
      <c r="F41" s="478"/>
      <c r="G41" s="430"/>
      <c r="H41" s="430"/>
      <c r="I41" s="598"/>
    </row>
    <row r="42" spans="1:10" ht="36" customHeight="1">
      <c r="A42" s="599" t="s">
        <v>177</v>
      </c>
      <c r="B42" s="611" t="s">
        <v>573</v>
      </c>
      <c r="C42" s="611"/>
      <c r="D42" s="611"/>
      <c r="E42" s="611"/>
      <c r="F42" s="611"/>
      <c r="G42" s="611"/>
      <c r="H42" s="611"/>
      <c r="I42" s="611"/>
    </row>
    <row r="43" spans="1:10" ht="30" customHeight="1">
      <c r="A43" s="599" t="s">
        <v>196</v>
      </c>
      <c r="B43" s="611" t="s">
        <v>574</v>
      </c>
      <c r="C43" s="611"/>
      <c r="D43" s="611"/>
      <c r="E43" s="611"/>
      <c r="F43" s="611"/>
      <c r="G43" s="611"/>
      <c r="H43" s="611"/>
      <c r="I43" s="611"/>
    </row>
    <row r="44" spans="1:10" ht="15.6" customHeight="1">
      <c r="A44" s="599" t="s">
        <v>193</v>
      </c>
      <c r="B44" s="611" t="s">
        <v>603</v>
      </c>
      <c r="C44" s="611"/>
      <c r="D44" s="611"/>
      <c r="E44" s="611"/>
      <c r="F44" s="611"/>
      <c r="G44" s="611"/>
      <c r="H44" s="611"/>
      <c r="I44" s="611"/>
    </row>
    <row r="45" spans="1:10" ht="15.6" customHeight="1">
      <c r="A45" s="599">
        <v>1</v>
      </c>
      <c r="B45" s="611" t="s">
        <v>559</v>
      </c>
      <c r="C45" s="611"/>
      <c r="D45" s="611"/>
      <c r="E45" s="611"/>
      <c r="F45" s="611"/>
      <c r="G45" s="611"/>
      <c r="H45" s="611"/>
      <c r="I45" s="611"/>
    </row>
    <row r="46" spans="1:10" ht="15.6" customHeight="1">
      <c r="B46" s="600"/>
    </row>
    <row r="47" spans="1:10" ht="15.6" customHeight="1">
      <c r="B47" s="611" t="s">
        <v>432</v>
      </c>
      <c r="C47" s="611"/>
      <c r="D47" s="611"/>
      <c r="E47" s="611"/>
      <c r="F47" s="611"/>
      <c r="G47" s="611"/>
      <c r="H47" s="611"/>
      <c r="I47" s="611"/>
    </row>
    <row r="48" spans="1:10" ht="15.6" customHeight="1">
      <c r="E48" s="601"/>
    </row>
  </sheetData>
  <autoFilter ref="A5:I45" xr:uid="{01CDA174-A46B-48B9-B27C-7D90FE3E06F0}"/>
  <mergeCells count="9">
    <mergeCell ref="B44:I44"/>
    <mergeCell ref="B45:I45"/>
    <mergeCell ref="B47:I47"/>
    <mergeCell ref="A1:I1"/>
    <mergeCell ref="A2:I2"/>
    <mergeCell ref="A3:I3"/>
    <mergeCell ref="A30:B30"/>
    <mergeCell ref="B42:I42"/>
    <mergeCell ref="B43:I43"/>
  </mergeCells>
  <pageMargins left="0.7" right="0.7" top="0.75" bottom="0.75" header="0.3" footer="0.3"/>
  <pageSetup paperSize="0" orientation="portrait" horizontalDpi="0" verticalDpi="0" copie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O6" sqref="O6"/>
    </sheetView>
  </sheetViews>
  <sheetFormatPr defaultColWidth="9.109375" defaultRowHeight="15.6"/>
  <cols>
    <col min="1" max="1" width="32.44140625" style="152" customWidth="1"/>
    <col min="2" max="4" width="20.5546875" style="152" hidden="1" customWidth="1"/>
    <col min="5" max="5" width="20.5546875" style="152" customWidth="1"/>
    <col min="6" max="7" width="20.5546875" style="152" hidden="1" customWidth="1"/>
    <col min="8" max="8" width="16.33203125" style="152" hidden="1" customWidth="1"/>
    <col min="9" max="13" width="20.5546875" style="152" hidden="1" customWidth="1"/>
    <col min="14" max="14" width="21.33203125" style="152" customWidth="1"/>
    <col min="15" max="15" width="19.5546875" style="152" customWidth="1"/>
    <col min="16" max="16" width="22.6640625" style="349" customWidth="1"/>
    <col min="17" max="17" width="15" style="152" customWidth="1"/>
    <col min="18" max="16384" width="9.109375" style="152"/>
  </cols>
  <sheetData>
    <row r="1" spans="1:16" s="296" customFormat="1" ht="16.2">
      <c r="A1" s="150" t="s">
        <v>3</v>
      </c>
      <c r="B1" s="150"/>
      <c r="C1" s="150"/>
      <c r="D1" s="150"/>
      <c r="E1" s="150"/>
      <c r="F1" s="150"/>
      <c r="G1" s="150"/>
      <c r="H1" s="150"/>
      <c r="I1" s="150"/>
      <c r="J1" s="150"/>
      <c r="K1" s="150"/>
      <c r="L1" s="150"/>
      <c r="M1" s="150"/>
      <c r="N1" s="150"/>
      <c r="P1" s="348"/>
    </row>
    <row r="2" spans="1:16">
      <c r="A2" s="151" t="s">
        <v>498</v>
      </c>
      <c r="B2" s="151"/>
      <c r="C2" s="151"/>
      <c r="D2" s="151"/>
      <c r="E2" s="151"/>
      <c r="F2" s="151"/>
      <c r="G2" s="151"/>
      <c r="H2" s="151"/>
      <c r="I2" s="151"/>
      <c r="J2" s="151"/>
      <c r="K2" s="151"/>
      <c r="L2" s="151"/>
      <c r="M2" s="151"/>
      <c r="N2" s="151"/>
    </row>
    <row r="3" spans="1:16">
      <c r="A3" s="151" t="str">
        <f>'Schedule 1'!A3:L3</f>
        <v>Data Through December 31, 2021</v>
      </c>
      <c r="B3" s="151"/>
      <c r="C3" s="151"/>
      <c r="D3" s="151"/>
      <c r="E3" s="151"/>
      <c r="F3" s="151"/>
      <c r="G3" s="151"/>
      <c r="H3" s="151"/>
      <c r="I3" s="151"/>
      <c r="J3" s="151"/>
      <c r="K3" s="151"/>
      <c r="L3" s="151"/>
      <c r="M3" s="151"/>
      <c r="N3" s="151"/>
    </row>
    <row r="6" spans="1:16" ht="46.95" customHeight="1">
      <c r="A6" s="355" t="s">
        <v>238</v>
      </c>
      <c r="B6" s="355" t="s">
        <v>500</v>
      </c>
      <c r="C6" s="355" t="s">
        <v>501</v>
      </c>
      <c r="D6" s="355" t="s">
        <v>502</v>
      </c>
      <c r="E6" s="355" t="s">
        <v>503</v>
      </c>
      <c r="F6" s="355" t="s">
        <v>504</v>
      </c>
      <c r="G6" s="355" t="s">
        <v>505</v>
      </c>
      <c r="H6" s="355" t="s">
        <v>506</v>
      </c>
      <c r="I6" s="355" t="s">
        <v>507</v>
      </c>
      <c r="J6" s="355" t="s">
        <v>508</v>
      </c>
      <c r="K6" s="355" t="s">
        <v>509</v>
      </c>
      <c r="L6" s="355" t="s">
        <v>510</v>
      </c>
      <c r="M6" s="355" t="s">
        <v>511</v>
      </c>
      <c r="N6" s="355" t="s">
        <v>627</v>
      </c>
    </row>
    <row r="8" spans="1:16">
      <c r="A8" s="350" t="s">
        <v>239</v>
      </c>
      <c r="B8" s="384">
        <v>54325669.690000027</v>
      </c>
      <c r="C8" s="384">
        <v>59605246.830000006</v>
      </c>
      <c r="D8" s="384">
        <v>60262739.580000103</v>
      </c>
      <c r="E8" s="368">
        <v>59299157</v>
      </c>
      <c r="F8" s="384"/>
      <c r="G8" s="384"/>
      <c r="H8" s="384"/>
      <c r="I8" s="384"/>
      <c r="J8" s="384"/>
      <c r="K8" s="384"/>
      <c r="L8" s="384"/>
      <c r="M8" s="384"/>
      <c r="N8" s="369">
        <f>SUM(B8:M8)</f>
        <v>233492813.10000014</v>
      </c>
    </row>
    <row r="9" spans="1:16">
      <c r="A9" s="350" t="s">
        <v>240</v>
      </c>
      <c r="B9" s="384">
        <v>1223984.620000001</v>
      </c>
      <c r="C9" s="384">
        <v>1716823.110000001</v>
      </c>
      <c r="D9" s="384">
        <v>2442089.5200000005</v>
      </c>
      <c r="E9" s="368">
        <v>2132788</v>
      </c>
      <c r="F9" s="384"/>
      <c r="G9" s="384"/>
      <c r="H9" s="384"/>
      <c r="I9" s="384"/>
      <c r="J9" s="384"/>
      <c r="K9" s="384"/>
      <c r="L9" s="384"/>
      <c r="M9" s="384"/>
      <c r="N9" s="369">
        <f t="shared" ref="N9:N21" si="0">SUM(B9:M9)</f>
        <v>7515685.2500000028</v>
      </c>
    </row>
    <row r="10" spans="1:16">
      <c r="A10" s="350" t="s">
        <v>241</v>
      </c>
      <c r="B10" s="384"/>
      <c r="C10" s="384">
        <v>2267606.0000000009</v>
      </c>
      <c r="D10" s="384">
        <v>4039710.6800000011</v>
      </c>
      <c r="E10" s="368">
        <v>4441050</v>
      </c>
      <c r="F10" s="384"/>
      <c r="G10" s="384"/>
      <c r="H10" s="384"/>
      <c r="I10" s="368"/>
      <c r="J10" s="368"/>
      <c r="K10" s="368"/>
      <c r="L10" s="368"/>
      <c r="M10" s="384"/>
      <c r="N10" s="369">
        <f t="shared" si="0"/>
        <v>10748366.680000002</v>
      </c>
    </row>
    <row r="11" spans="1:16">
      <c r="A11" s="350" t="s">
        <v>242</v>
      </c>
      <c r="B11" s="368"/>
      <c r="C11" s="368"/>
      <c r="E11" s="368"/>
      <c r="F11" s="384"/>
      <c r="G11" s="384"/>
      <c r="H11" s="384"/>
      <c r="I11" s="368"/>
      <c r="J11" s="368"/>
      <c r="K11" s="368"/>
      <c r="L11" s="368"/>
      <c r="M11" s="384"/>
      <c r="N11" s="369">
        <f t="shared" si="0"/>
        <v>0</v>
      </c>
    </row>
    <row r="12" spans="1:16">
      <c r="A12" s="350" t="s">
        <v>243</v>
      </c>
      <c r="B12" s="384">
        <v>454.91000000000008</v>
      </c>
      <c r="C12" s="384">
        <v>15301.400000000009</v>
      </c>
      <c r="D12" s="384">
        <v>9148.7000000000062</v>
      </c>
      <c r="E12" s="368">
        <v>59</v>
      </c>
      <c r="F12" s="384"/>
      <c r="G12" s="384"/>
      <c r="H12" s="384"/>
      <c r="I12" s="384"/>
      <c r="J12" s="384"/>
      <c r="K12" s="384"/>
      <c r="L12" s="384"/>
      <c r="M12" s="384"/>
      <c r="N12" s="369">
        <f t="shared" si="0"/>
        <v>24964.010000000017</v>
      </c>
    </row>
    <row r="13" spans="1:16">
      <c r="A13" s="350" t="s">
        <v>244</v>
      </c>
      <c r="B13" s="384">
        <v>762199.77000000014</v>
      </c>
      <c r="C13" s="384">
        <v>1662560.3800000006</v>
      </c>
      <c r="D13" s="384">
        <v>122611.56999999999</v>
      </c>
      <c r="E13" s="368">
        <v>12493</v>
      </c>
      <c r="F13" s="384"/>
      <c r="G13" s="384"/>
      <c r="H13" s="384"/>
      <c r="I13" s="384"/>
      <c r="J13" s="384"/>
      <c r="K13" s="384"/>
      <c r="L13" s="384"/>
      <c r="M13" s="384"/>
      <c r="N13" s="369">
        <f t="shared" si="0"/>
        <v>2559864.7200000007</v>
      </c>
    </row>
    <row r="14" spans="1:16">
      <c r="A14" s="350" t="s">
        <v>245</v>
      </c>
      <c r="B14" s="384">
        <v>111226.93000000001</v>
      </c>
      <c r="C14" s="384">
        <v>3426944.0699999947</v>
      </c>
      <c r="D14" s="384">
        <v>4025822.549999998</v>
      </c>
      <c r="E14" s="368">
        <v>791693</v>
      </c>
      <c r="F14" s="384"/>
      <c r="G14" s="384"/>
      <c r="H14" s="384"/>
      <c r="I14" s="384"/>
      <c r="J14" s="384"/>
      <c r="K14" s="384"/>
      <c r="L14" s="384"/>
      <c r="M14" s="384"/>
      <c r="N14" s="369">
        <f t="shared" si="0"/>
        <v>8355686.5499999933</v>
      </c>
    </row>
    <row r="15" spans="1:16">
      <c r="A15" s="350" t="s">
        <v>246</v>
      </c>
      <c r="B15" s="384">
        <v>1124.9999999999995</v>
      </c>
      <c r="C15" s="384">
        <v>4179.4600000000009</v>
      </c>
      <c r="D15" s="384">
        <v>25365.340000000007</v>
      </c>
      <c r="E15" s="368">
        <v>4774110</v>
      </c>
      <c r="F15" s="384"/>
      <c r="G15" s="384"/>
      <c r="H15" s="384"/>
      <c r="I15" s="384"/>
      <c r="J15" s="384"/>
      <c r="K15" s="384"/>
      <c r="L15" s="384"/>
      <c r="M15" s="384"/>
      <c r="N15" s="369">
        <f t="shared" si="0"/>
        <v>4804779.8</v>
      </c>
    </row>
    <row r="16" spans="1:16">
      <c r="A16" s="350" t="s">
        <v>362</v>
      </c>
      <c r="B16" s="384"/>
      <c r="C16" s="384">
        <v>497776.43</v>
      </c>
      <c r="D16" s="384">
        <v>490184.86999999994</v>
      </c>
      <c r="E16" s="368">
        <v>2166</v>
      </c>
      <c r="F16" s="384"/>
      <c r="G16" s="384"/>
      <c r="H16" s="384"/>
      <c r="I16" s="384"/>
      <c r="J16" s="384"/>
      <c r="K16" s="384"/>
      <c r="L16" s="384"/>
      <c r="M16" s="384"/>
      <c r="N16" s="369">
        <f t="shared" si="0"/>
        <v>990127.29999999993</v>
      </c>
    </row>
    <row r="17" spans="1:15">
      <c r="A17" s="350" t="s">
        <v>247</v>
      </c>
      <c r="B17" s="384">
        <v>3182747.1599999974</v>
      </c>
      <c r="C17" s="384">
        <v>5491026.5999999903</v>
      </c>
      <c r="D17" s="384">
        <v>4127157.4599999893</v>
      </c>
      <c r="E17" s="368">
        <v>606</v>
      </c>
      <c r="F17" s="384"/>
      <c r="G17" s="384"/>
      <c r="H17" s="384"/>
      <c r="I17" s="384"/>
      <c r="J17" s="428"/>
      <c r="K17" s="384"/>
      <c r="L17" s="384"/>
      <c r="M17" s="384"/>
      <c r="N17" s="369">
        <f t="shared" si="0"/>
        <v>12801537.219999976</v>
      </c>
    </row>
    <row r="18" spans="1:15">
      <c r="A18" s="350" t="s">
        <v>248</v>
      </c>
      <c r="B18" s="384">
        <v>35239497.36999999</v>
      </c>
      <c r="C18" s="384">
        <v>78925582.759999931</v>
      </c>
      <c r="D18" s="384">
        <v>90305932.639999986</v>
      </c>
      <c r="E18" s="368">
        <v>4766947</v>
      </c>
      <c r="F18" s="384"/>
      <c r="G18" s="384"/>
      <c r="H18" s="384"/>
      <c r="I18" s="384"/>
      <c r="J18" s="384"/>
      <c r="K18" s="384"/>
      <c r="L18" s="384"/>
      <c r="M18" s="384"/>
      <c r="N18" s="369">
        <f t="shared" si="0"/>
        <v>209237959.76999992</v>
      </c>
    </row>
    <row r="19" spans="1:15">
      <c r="A19" s="350" t="s">
        <v>249</v>
      </c>
      <c r="B19" s="384">
        <v>3784.89</v>
      </c>
      <c r="C19" s="384">
        <v>37429.739999999991</v>
      </c>
      <c r="D19" s="384">
        <v>28744.640000000007</v>
      </c>
      <c r="E19" s="368">
        <v>97028006</v>
      </c>
      <c r="F19" s="384"/>
      <c r="G19" s="384"/>
      <c r="H19" s="384"/>
      <c r="I19" s="384"/>
      <c r="J19" s="384"/>
      <c r="K19" s="384"/>
      <c r="L19" s="384"/>
      <c r="M19" s="384"/>
      <c r="N19" s="369">
        <f t="shared" si="0"/>
        <v>97097965.269999996</v>
      </c>
    </row>
    <row r="20" spans="1:15">
      <c r="A20" s="350" t="s">
        <v>250</v>
      </c>
      <c r="B20" s="384">
        <v>0</v>
      </c>
      <c r="C20" s="384">
        <v>729296.04</v>
      </c>
      <c r="D20" s="384">
        <v>2310981.38</v>
      </c>
      <c r="E20" s="368">
        <v>53585</v>
      </c>
      <c r="F20" s="384"/>
      <c r="G20" s="384"/>
      <c r="H20" s="384"/>
      <c r="I20" s="368"/>
      <c r="J20" s="368"/>
      <c r="K20" s="368"/>
      <c r="L20" s="368"/>
      <c r="M20" s="384"/>
      <c r="N20" s="369">
        <f t="shared" si="0"/>
        <v>3093862.42</v>
      </c>
    </row>
    <row r="21" spans="1:15">
      <c r="A21" s="350" t="s">
        <v>251</v>
      </c>
      <c r="B21" s="368"/>
      <c r="C21" s="368"/>
      <c r="D21" s="368"/>
      <c r="E21" s="368">
        <v>2672026</v>
      </c>
      <c r="F21" s="384">
        <v>0</v>
      </c>
      <c r="G21" s="368"/>
      <c r="H21" s="368"/>
      <c r="I21" s="368">
        <v>0</v>
      </c>
      <c r="J21" s="368">
        <v>0</v>
      </c>
      <c r="K21" s="368"/>
      <c r="L21" s="368"/>
      <c r="M21" s="368"/>
      <c r="N21" s="369">
        <f t="shared" si="0"/>
        <v>2672026</v>
      </c>
    </row>
    <row r="22" spans="1:15">
      <c r="B22" s="155"/>
      <c r="C22" s="155"/>
      <c r="D22" s="155"/>
      <c r="E22" s="155"/>
      <c r="F22" s="155"/>
      <c r="G22" s="155"/>
      <c r="H22" s="155"/>
      <c r="I22" s="155">
        <v>-4.220055416226387E-8</v>
      </c>
      <c r="J22" s="155">
        <v>-1.3336539268493652E-6</v>
      </c>
      <c r="K22" s="155"/>
      <c r="L22" s="155"/>
      <c r="M22" s="155"/>
      <c r="N22" s="367"/>
    </row>
    <row r="23" spans="1:15" ht="16.2" thickBot="1">
      <c r="A23" s="351" t="s">
        <v>92</v>
      </c>
      <c r="B23" s="366">
        <f>SUM(B8:B22)</f>
        <v>94850690.340000018</v>
      </c>
      <c r="C23" s="366">
        <f t="shared" ref="C23:I23" si="1">SUM(C8:C22)</f>
        <v>154379772.81999993</v>
      </c>
      <c r="D23" s="366">
        <f t="shared" si="1"/>
        <v>168190488.93000007</v>
      </c>
      <c r="E23" s="366">
        <f t="shared" si="1"/>
        <v>175974686</v>
      </c>
      <c r="F23" s="366">
        <f t="shared" si="1"/>
        <v>0</v>
      </c>
      <c r="G23" s="366">
        <f t="shared" si="1"/>
        <v>0</v>
      </c>
      <c r="H23" s="366">
        <f t="shared" si="1"/>
        <v>0</v>
      </c>
      <c r="I23" s="366">
        <f t="shared" si="1"/>
        <v>-4.220055416226387E-8</v>
      </c>
      <c r="J23" s="366">
        <f>SUM(J8:J22)</f>
        <v>-1.3336539268493652E-6</v>
      </c>
      <c r="K23" s="366"/>
      <c r="L23" s="366"/>
      <c r="M23" s="366"/>
      <c r="N23" s="429">
        <f>SUM(N8:N22)</f>
        <v>593395638.09000003</v>
      </c>
      <c r="O23" s="377"/>
    </row>
    <row r="24" spans="1:15" ht="16.2" thickTop="1"/>
    <row r="26" spans="1:15">
      <c r="N26" s="376"/>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0"/>
  <sheetViews>
    <sheetView zoomScale="70" zoomScaleNormal="70" workbookViewId="0">
      <pane ySplit="6" topLeftCell="A7" activePane="bottomLeft" state="frozen"/>
      <selection activeCell="AM66" sqref="AM66"/>
      <selection pane="bottomLeft" activeCell="J22" sqref="J22"/>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customWidth="1"/>
    <col min="10" max="10" width="35.109375" style="1" customWidth="1"/>
    <col min="11" max="11" width="13.6640625" style="1" bestFit="1" customWidth="1"/>
    <col min="12" max="16384" width="9.109375" style="1"/>
  </cols>
  <sheetData>
    <row r="1" spans="1:12" s="4" customFormat="1" ht="16.2">
      <c r="A1" s="150" t="s">
        <v>3</v>
      </c>
      <c r="B1" s="150"/>
      <c r="C1" s="150"/>
      <c r="D1" s="150"/>
      <c r="E1" s="150"/>
      <c r="F1" s="150"/>
      <c r="G1" s="150"/>
      <c r="H1" s="150"/>
      <c r="I1" s="150"/>
    </row>
    <row r="2" spans="1:12">
      <c r="A2" s="151" t="s">
        <v>512</v>
      </c>
      <c r="B2" s="151"/>
      <c r="C2" s="151"/>
      <c r="D2" s="151"/>
      <c r="E2" s="151"/>
      <c r="F2" s="151"/>
      <c r="G2" s="151"/>
      <c r="H2" s="151"/>
      <c r="I2" s="151"/>
    </row>
    <row r="3" spans="1:12">
      <c r="A3" s="151" t="str">
        <f>'Schedule 1'!A3:L3</f>
        <v>Data Through December 31, 2021</v>
      </c>
      <c r="B3" s="151"/>
      <c r="C3" s="151"/>
      <c r="D3" s="151"/>
      <c r="E3" s="151"/>
      <c r="F3" s="151"/>
      <c r="G3" s="151"/>
      <c r="H3" s="151"/>
      <c r="I3" s="151"/>
    </row>
    <row r="4" spans="1:12">
      <c r="A4" s="152"/>
      <c r="B4" s="153"/>
      <c r="C4" s="154"/>
      <c r="D4" s="155"/>
      <c r="E4" s="155"/>
      <c r="F4" s="155"/>
      <c r="G4" s="155"/>
      <c r="H4" s="155"/>
      <c r="I4" s="155"/>
    </row>
    <row r="5" spans="1:12" s="15" customFormat="1">
      <c r="A5" s="156"/>
      <c r="B5" s="157" t="s">
        <v>185</v>
      </c>
      <c r="C5" s="356"/>
      <c r="D5" s="158" t="s">
        <v>146</v>
      </c>
      <c r="E5" s="158" t="s">
        <v>147</v>
      </c>
      <c r="F5" s="159" t="s">
        <v>203</v>
      </c>
      <c r="G5" s="159" t="s">
        <v>50</v>
      </c>
      <c r="H5" s="356"/>
      <c r="I5" s="159"/>
      <c r="J5" s="152"/>
    </row>
    <row r="6" spans="1:12" s="15" customFormat="1">
      <c r="A6" s="160" t="s">
        <v>48</v>
      </c>
      <c r="B6" s="161" t="s">
        <v>51</v>
      </c>
      <c r="C6" s="357" t="s">
        <v>29</v>
      </c>
      <c r="D6" s="163" t="s">
        <v>30</v>
      </c>
      <c r="E6" s="163" t="s">
        <v>30</v>
      </c>
      <c r="F6" s="162" t="s">
        <v>148</v>
      </c>
      <c r="G6" s="164" t="s">
        <v>36</v>
      </c>
      <c r="H6" s="164" t="s">
        <v>32</v>
      </c>
      <c r="I6" s="164" t="s">
        <v>33</v>
      </c>
      <c r="J6" s="152"/>
    </row>
    <row r="7" spans="1:12" s="15" customFormat="1">
      <c r="A7" s="165"/>
      <c r="B7" s="166"/>
      <c r="C7" s="166"/>
      <c r="D7" s="166"/>
      <c r="E7" s="166"/>
      <c r="F7" s="166"/>
      <c r="G7" s="167"/>
      <c r="H7" s="167"/>
      <c r="I7" s="167"/>
      <c r="J7" s="152"/>
    </row>
    <row r="8" spans="1:12" s="15" customFormat="1">
      <c r="A8" s="168" t="s">
        <v>52</v>
      </c>
      <c r="B8" s="169" t="s">
        <v>53</v>
      </c>
      <c r="C8" s="170">
        <v>1137698341</v>
      </c>
      <c r="D8" s="170">
        <f>E8+F8</f>
        <v>71485005</v>
      </c>
      <c r="E8" s="170">
        <v>71453995</v>
      </c>
      <c r="F8" s="170">
        <v>31010</v>
      </c>
      <c r="G8" s="170">
        <v>1209183346</v>
      </c>
      <c r="H8" s="170">
        <v>1273306832</v>
      </c>
      <c r="I8" s="170">
        <f>G8-H8</f>
        <v>-64123486</v>
      </c>
      <c r="J8" s="171">
        <f t="shared" ref="J8:J43" si="0">G8-C8-D8</f>
        <v>0</v>
      </c>
      <c r="L8" s="387"/>
    </row>
    <row r="9" spans="1:12" s="15" customFormat="1">
      <c r="A9" s="168" t="s">
        <v>54</v>
      </c>
      <c r="B9" s="169" t="s">
        <v>55</v>
      </c>
      <c r="C9" s="170">
        <v>13216869</v>
      </c>
      <c r="D9" s="170">
        <f>E9+F9</f>
        <v>1099749</v>
      </c>
      <c r="E9" s="170">
        <v>1130759</v>
      </c>
      <c r="F9" s="170">
        <v>-31010</v>
      </c>
      <c r="G9" s="170">
        <v>14316618</v>
      </c>
      <c r="H9" s="170">
        <v>14316618</v>
      </c>
      <c r="I9" s="170">
        <f>G9-H9</f>
        <v>0</v>
      </c>
      <c r="J9" s="171">
        <f t="shared" si="0"/>
        <v>0</v>
      </c>
      <c r="L9" s="387"/>
    </row>
    <row r="10" spans="1:12" s="15" customFormat="1">
      <c r="A10" s="168" t="s">
        <v>56</v>
      </c>
      <c r="B10" s="169" t="s">
        <v>57</v>
      </c>
      <c r="C10" s="170">
        <v>0</v>
      </c>
      <c r="D10" s="170">
        <f>E10+F10</f>
        <v>0</v>
      </c>
      <c r="E10" s="170">
        <v>0</v>
      </c>
      <c r="F10" s="170">
        <v>0</v>
      </c>
      <c r="G10" s="170">
        <v>0</v>
      </c>
      <c r="H10" s="170">
        <v>0</v>
      </c>
      <c r="I10" s="170">
        <f>G10-H10</f>
        <v>0</v>
      </c>
      <c r="J10" s="171">
        <f t="shared" si="0"/>
        <v>0</v>
      </c>
      <c r="L10" s="387"/>
    </row>
    <row r="11" spans="1:12" s="15" customFormat="1">
      <c r="A11" s="168" t="s">
        <v>117</v>
      </c>
      <c r="B11" s="172" t="s">
        <v>124</v>
      </c>
      <c r="C11" s="170">
        <v>176155057</v>
      </c>
      <c r="D11" s="170">
        <f>E11+F11</f>
        <v>0</v>
      </c>
      <c r="E11" s="170">
        <v>0</v>
      </c>
      <c r="F11" s="170">
        <v>0</v>
      </c>
      <c r="G11" s="170">
        <v>176155057</v>
      </c>
      <c r="H11" s="170">
        <v>127970975</v>
      </c>
      <c r="I11" s="170">
        <f>G11-H11</f>
        <v>48184082</v>
      </c>
      <c r="J11" s="171">
        <f t="shared" si="0"/>
        <v>0</v>
      </c>
      <c r="L11" s="387"/>
    </row>
    <row r="12" spans="1:12" s="15" customFormat="1" ht="11.25" customHeight="1">
      <c r="A12" s="168"/>
      <c r="B12" s="172"/>
      <c r="C12" s="170"/>
      <c r="D12" s="170"/>
      <c r="E12" s="170"/>
      <c r="F12" s="170"/>
      <c r="G12" s="170"/>
      <c r="H12" s="170"/>
      <c r="I12" s="170"/>
      <c r="J12" s="171">
        <f t="shared" si="0"/>
        <v>0</v>
      </c>
      <c r="L12" s="387"/>
    </row>
    <row r="13" spans="1:12" s="15" customFormat="1" ht="16.2">
      <c r="A13" s="173" t="s">
        <v>58</v>
      </c>
      <c r="B13" s="174"/>
      <c r="C13" s="175">
        <f t="shared" ref="C13:H13" si="1">SUM(C8:C11)</f>
        <v>1327070267</v>
      </c>
      <c r="D13" s="175">
        <f>SUM(D8:D12)</f>
        <v>72584754</v>
      </c>
      <c r="E13" s="175">
        <v>72584754</v>
      </c>
      <c r="F13" s="175">
        <f>SUM(F8:F11)</f>
        <v>0</v>
      </c>
      <c r="G13" s="175">
        <f t="shared" si="1"/>
        <v>1399655021</v>
      </c>
      <c r="H13" s="175">
        <f t="shared" si="1"/>
        <v>1415594425</v>
      </c>
      <c r="I13" s="175">
        <f>SUM(I8:I11)</f>
        <v>-15939404</v>
      </c>
      <c r="J13" s="171">
        <f t="shared" si="0"/>
        <v>0</v>
      </c>
      <c r="L13" s="387"/>
    </row>
    <row r="14" spans="1:12" s="15" customFormat="1" ht="12" customHeight="1">
      <c r="A14" s="176"/>
      <c r="B14" s="177"/>
      <c r="C14" s="178"/>
      <c r="D14" s="178"/>
      <c r="E14" s="178"/>
      <c r="F14" s="178"/>
      <c r="G14" s="178"/>
      <c r="H14" s="178"/>
      <c r="I14" s="178"/>
      <c r="J14" s="171">
        <f t="shared" si="0"/>
        <v>0</v>
      </c>
      <c r="L14" s="387"/>
    </row>
    <row r="15" spans="1:12" s="15" customFormat="1">
      <c r="A15" s="179" t="s">
        <v>59</v>
      </c>
      <c r="B15" s="180" t="s">
        <v>60</v>
      </c>
      <c r="C15" s="170">
        <v>4285000</v>
      </c>
      <c r="D15" s="170">
        <f>E15+F15</f>
        <v>0</v>
      </c>
      <c r="E15" s="170">
        <v>0</v>
      </c>
      <c r="F15" s="170">
        <v>0</v>
      </c>
      <c r="G15" s="170">
        <v>4285000</v>
      </c>
      <c r="H15" s="170">
        <v>4285000</v>
      </c>
      <c r="I15" s="170">
        <f>G15-H15</f>
        <v>0</v>
      </c>
      <c r="J15" s="171">
        <f t="shared" si="0"/>
        <v>0</v>
      </c>
      <c r="L15" s="387"/>
    </row>
    <row r="16" spans="1:12" s="15" customFormat="1" ht="12.75" customHeight="1">
      <c r="A16" s="179"/>
      <c r="B16" s="180"/>
      <c r="C16" s="170"/>
      <c r="D16" s="170"/>
      <c r="E16" s="170"/>
      <c r="F16" s="170"/>
      <c r="G16" s="170"/>
      <c r="H16" s="170"/>
      <c r="I16" s="170"/>
      <c r="J16" s="171">
        <f t="shared" si="0"/>
        <v>0</v>
      </c>
      <c r="L16" s="387"/>
    </row>
    <row r="17" spans="1:12" s="15" customFormat="1" ht="16.2">
      <c r="A17" s="173" t="s">
        <v>61</v>
      </c>
      <c r="B17" s="174"/>
      <c r="C17" s="175">
        <f t="shared" ref="C17:I17" si="2">SUM(C15:C15)</f>
        <v>4285000</v>
      </c>
      <c r="D17" s="175">
        <f>SUM(D15:D16)</f>
        <v>0</v>
      </c>
      <c r="E17" s="175">
        <v>0</v>
      </c>
      <c r="F17" s="175">
        <f t="shared" si="2"/>
        <v>0</v>
      </c>
      <c r="G17" s="175">
        <f>SUM(G15:G15)</f>
        <v>4285000</v>
      </c>
      <c r="H17" s="175">
        <f t="shared" si="2"/>
        <v>4285000</v>
      </c>
      <c r="I17" s="175">
        <f t="shared" si="2"/>
        <v>0</v>
      </c>
      <c r="J17" s="171">
        <f t="shared" si="0"/>
        <v>0</v>
      </c>
      <c r="L17" s="387"/>
    </row>
    <row r="18" spans="1:12" s="18" customFormat="1" ht="16.2">
      <c r="A18" s="176"/>
      <c r="B18" s="177"/>
      <c r="C18" s="178"/>
      <c r="D18" s="178"/>
      <c r="E18" s="170"/>
      <c r="F18" s="178"/>
      <c r="G18" s="178"/>
      <c r="H18" s="178"/>
      <c r="I18" s="178"/>
      <c r="J18" s="171">
        <f t="shared" si="0"/>
        <v>0</v>
      </c>
      <c r="K18" s="15"/>
      <c r="L18" s="387"/>
    </row>
    <row r="19" spans="1:12" s="15" customFormat="1" ht="16.2">
      <c r="A19" s="173" t="s">
        <v>37</v>
      </c>
      <c r="B19" s="181"/>
      <c r="C19" s="175">
        <f t="shared" ref="C19:I19" si="3">SUM(C17,C13)</f>
        <v>1331355267</v>
      </c>
      <c r="D19" s="175">
        <f t="shared" si="3"/>
        <v>72584754</v>
      </c>
      <c r="E19" s="175">
        <v>72584754</v>
      </c>
      <c r="F19" s="175">
        <f t="shared" si="3"/>
        <v>0</v>
      </c>
      <c r="G19" s="175">
        <f t="shared" si="3"/>
        <v>1403940021</v>
      </c>
      <c r="H19" s="175">
        <f t="shared" si="3"/>
        <v>1419879425</v>
      </c>
      <c r="I19" s="175">
        <f t="shared" si="3"/>
        <v>-15939404</v>
      </c>
      <c r="J19" s="171">
        <f t="shared" si="0"/>
        <v>0</v>
      </c>
      <c r="L19" s="387"/>
    </row>
    <row r="20" spans="1:12" s="15" customFormat="1" ht="16.2">
      <c r="A20" s="176"/>
      <c r="B20" s="182"/>
      <c r="C20" s="178"/>
      <c r="D20" s="178"/>
      <c r="E20" s="178"/>
      <c r="F20" s="178"/>
      <c r="G20" s="178"/>
      <c r="H20" s="178"/>
      <c r="I20" s="178"/>
      <c r="J20" s="171">
        <f t="shared" si="0"/>
        <v>0</v>
      </c>
      <c r="L20" s="387"/>
    </row>
    <row r="21" spans="1:12" s="15" customFormat="1">
      <c r="A21" s="183" t="s">
        <v>62</v>
      </c>
      <c r="B21" s="184" t="s">
        <v>119</v>
      </c>
      <c r="C21" s="170">
        <v>29975718</v>
      </c>
      <c r="D21" s="170">
        <f t="shared" ref="D21:D51" si="4">E21+F21</f>
        <v>0</v>
      </c>
      <c r="E21" s="170">
        <v>0</v>
      </c>
      <c r="F21" s="170">
        <v>0</v>
      </c>
      <c r="G21" s="170">
        <v>29975718</v>
      </c>
      <c r="H21" s="170">
        <v>29975718</v>
      </c>
      <c r="I21" s="170">
        <f t="shared" ref="I21:I51" si="5">G21-H21</f>
        <v>0</v>
      </c>
      <c r="J21" s="171">
        <f t="shared" si="0"/>
        <v>0</v>
      </c>
      <c r="L21" s="387"/>
    </row>
    <row r="22" spans="1:12" s="15" customFormat="1">
      <c r="A22" s="183" t="s">
        <v>120</v>
      </c>
      <c r="B22" s="185" t="s">
        <v>118</v>
      </c>
      <c r="C22" s="170">
        <v>1494209</v>
      </c>
      <c r="D22" s="170">
        <f t="shared" si="4"/>
        <v>0</v>
      </c>
      <c r="E22" s="170">
        <v>0</v>
      </c>
      <c r="F22" s="170">
        <v>0</v>
      </c>
      <c r="G22" s="170">
        <v>1494209</v>
      </c>
      <c r="H22" s="170">
        <v>1494209</v>
      </c>
      <c r="I22" s="170">
        <f t="shared" si="5"/>
        <v>0</v>
      </c>
      <c r="J22" s="171">
        <f t="shared" si="0"/>
        <v>0</v>
      </c>
      <c r="L22" s="387"/>
    </row>
    <row r="23" spans="1:12" s="15" customFormat="1">
      <c r="A23" s="183" t="s">
        <v>368</v>
      </c>
      <c r="B23" s="185" t="s">
        <v>367</v>
      </c>
      <c r="C23" s="170"/>
      <c r="D23" s="170">
        <f t="shared" si="4"/>
        <v>1771892</v>
      </c>
      <c r="E23" s="170">
        <v>1771892</v>
      </c>
      <c r="F23" s="170">
        <v>0</v>
      </c>
      <c r="G23" s="170">
        <v>1771892</v>
      </c>
      <c r="H23" s="170">
        <v>1771892</v>
      </c>
      <c r="I23" s="170">
        <f t="shared" si="5"/>
        <v>0</v>
      </c>
      <c r="J23" s="171">
        <f t="shared" si="0"/>
        <v>0</v>
      </c>
      <c r="L23" s="387"/>
    </row>
    <row r="24" spans="1:12" s="15" customFormat="1">
      <c r="A24" s="183" t="s">
        <v>392</v>
      </c>
      <c r="B24" s="185" t="s">
        <v>393</v>
      </c>
      <c r="C24" s="170"/>
      <c r="D24" s="170">
        <f t="shared" si="4"/>
        <v>296212</v>
      </c>
      <c r="E24" s="170">
        <v>296212</v>
      </c>
      <c r="F24" s="170">
        <v>0</v>
      </c>
      <c r="G24" s="170">
        <v>296212</v>
      </c>
      <c r="H24" s="170">
        <v>296212</v>
      </c>
      <c r="I24" s="170">
        <f>G24-H24</f>
        <v>0</v>
      </c>
      <c r="J24" s="171">
        <f t="shared" si="0"/>
        <v>0</v>
      </c>
      <c r="L24" s="387"/>
    </row>
    <row r="25" spans="1:12" s="15" customFormat="1">
      <c r="A25" s="183" t="s">
        <v>465</v>
      </c>
      <c r="B25" s="185" t="s">
        <v>464</v>
      </c>
      <c r="C25" s="170">
        <v>22501214</v>
      </c>
      <c r="D25" s="170">
        <f t="shared" si="4"/>
        <v>353884</v>
      </c>
      <c r="E25" s="170">
        <v>353884</v>
      </c>
      <c r="F25" s="170">
        <v>0</v>
      </c>
      <c r="G25" s="170">
        <v>22855098</v>
      </c>
      <c r="H25" s="170">
        <v>22855098</v>
      </c>
      <c r="I25" s="170">
        <f>G25-H25</f>
        <v>0</v>
      </c>
      <c r="J25" s="171">
        <f t="shared" si="0"/>
        <v>0</v>
      </c>
      <c r="L25" s="387"/>
    </row>
    <row r="26" spans="1:12" s="15" customFormat="1">
      <c r="A26" s="186" t="s">
        <v>63</v>
      </c>
      <c r="B26" s="187" t="s">
        <v>439</v>
      </c>
      <c r="C26" s="170">
        <v>355593997</v>
      </c>
      <c r="D26" s="170">
        <f t="shared" si="4"/>
        <v>0</v>
      </c>
      <c r="E26" s="170">
        <v>0</v>
      </c>
      <c r="F26" s="170">
        <v>0</v>
      </c>
      <c r="G26" s="170">
        <v>355593997</v>
      </c>
      <c r="H26" s="170">
        <v>355593997</v>
      </c>
      <c r="I26" s="170">
        <f>G26-H26</f>
        <v>0</v>
      </c>
      <c r="J26" s="171">
        <f t="shared" si="0"/>
        <v>0</v>
      </c>
      <c r="L26" s="387"/>
    </row>
    <row r="27" spans="1:12" s="15" customFormat="1">
      <c r="A27" s="186" t="s">
        <v>65</v>
      </c>
      <c r="B27" s="187" t="s">
        <v>440</v>
      </c>
      <c r="C27" s="170"/>
      <c r="D27" s="170">
        <f t="shared" si="4"/>
        <v>0</v>
      </c>
      <c r="E27" s="170">
        <v>0</v>
      </c>
      <c r="F27" s="170">
        <v>0</v>
      </c>
      <c r="G27" s="170">
        <v>0</v>
      </c>
      <c r="H27" s="170">
        <v>0</v>
      </c>
      <c r="I27" s="170">
        <f t="shared" si="5"/>
        <v>0</v>
      </c>
      <c r="J27" s="171">
        <f t="shared" si="0"/>
        <v>0</v>
      </c>
      <c r="L27" s="387"/>
    </row>
    <row r="28" spans="1:12" s="15" customFormat="1">
      <c r="A28" s="186" t="s">
        <v>66</v>
      </c>
      <c r="B28" s="187" t="s">
        <v>441</v>
      </c>
      <c r="C28" s="170">
        <v>45395946</v>
      </c>
      <c r="D28" s="170">
        <f t="shared" si="4"/>
        <v>0</v>
      </c>
      <c r="E28" s="170">
        <v>0</v>
      </c>
      <c r="F28" s="170">
        <v>0</v>
      </c>
      <c r="G28" s="170">
        <v>45395946</v>
      </c>
      <c r="H28" s="170">
        <v>45395946</v>
      </c>
      <c r="I28" s="170">
        <f t="shared" si="5"/>
        <v>0</v>
      </c>
      <c r="J28" s="171">
        <f t="shared" si="0"/>
        <v>0</v>
      </c>
      <c r="L28" s="387"/>
    </row>
    <row r="29" spans="1:12" s="15" customFormat="1">
      <c r="A29" s="188" t="s">
        <v>67</v>
      </c>
      <c r="B29" s="187" t="s">
        <v>442</v>
      </c>
      <c r="C29" s="170">
        <v>6577972</v>
      </c>
      <c r="D29" s="170">
        <f t="shared" si="4"/>
        <v>88299</v>
      </c>
      <c r="E29" s="170">
        <v>39922</v>
      </c>
      <c r="F29" s="170">
        <v>48377</v>
      </c>
      <c r="G29" s="170">
        <v>6666271</v>
      </c>
      <c r="H29" s="170">
        <v>6666271</v>
      </c>
      <c r="I29" s="170">
        <f t="shared" si="5"/>
        <v>0</v>
      </c>
      <c r="J29" s="171">
        <f t="shared" si="0"/>
        <v>0</v>
      </c>
      <c r="L29" s="387"/>
    </row>
    <row r="30" spans="1:12" s="15" customFormat="1">
      <c r="A30" s="188" t="s">
        <v>68</v>
      </c>
      <c r="B30" s="187" t="s">
        <v>443</v>
      </c>
      <c r="C30" s="170">
        <v>3043144</v>
      </c>
      <c r="D30" s="170">
        <f t="shared" si="4"/>
        <v>7178</v>
      </c>
      <c r="E30" s="170">
        <v>0</v>
      </c>
      <c r="F30" s="170">
        <v>7178</v>
      </c>
      <c r="G30" s="170">
        <v>3050322</v>
      </c>
      <c r="H30" s="170">
        <v>3050322</v>
      </c>
      <c r="I30" s="170">
        <f t="shared" si="5"/>
        <v>0</v>
      </c>
      <c r="J30" s="171">
        <f t="shared" si="0"/>
        <v>0</v>
      </c>
      <c r="L30" s="387"/>
    </row>
    <row r="31" spans="1:12" s="15" customFormat="1">
      <c r="A31" s="188" t="s">
        <v>69</v>
      </c>
      <c r="B31" s="189" t="s">
        <v>444</v>
      </c>
      <c r="C31" s="170">
        <v>1065000</v>
      </c>
      <c r="D31" s="170">
        <f t="shared" si="4"/>
        <v>0</v>
      </c>
      <c r="E31" s="170">
        <v>0</v>
      </c>
      <c r="F31" s="170">
        <v>0</v>
      </c>
      <c r="G31" s="170">
        <v>1065000</v>
      </c>
      <c r="H31" s="170">
        <v>1065000</v>
      </c>
      <c r="I31" s="170">
        <f t="shared" si="5"/>
        <v>0</v>
      </c>
      <c r="J31" s="171">
        <f t="shared" si="0"/>
        <v>0</v>
      </c>
      <c r="L31" s="387"/>
    </row>
    <row r="32" spans="1:12" s="15" customFormat="1">
      <c r="A32" s="188" t="s">
        <v>122</v>
      </c>
      <c r="B32" s="189" t="s">
        <v>445</v>
      </c>
      <c r="C32" s="170"/>
      <c r="D32" s="170">
        <f t="shared" si="4"/>
        <v>14724</v>
      </c>
      <c r="E32" s="170">
        <v>14724</v>
      </c>
      <c r="F32" s="170">
        <v>0</v>
      </c>
      <c r="G32" s="170">
        <v>14724</v>
      </c>
      <c r="H32" s="170">
        <v>14724</v>
      </c>
      <c r="I32" s="170">
        <f t="shared" si="5"/>
        <v>0</v>
      </c>
      <c r="J32" s="171">
        <f t="shared" si="0"/>
        <v>0</v>
      </c>
      <c r="L32" s="387"/>
    </row>
    <row r="33" spans="1:12" s="15" customFormat="1">
      <c r="A33" s="188" t="s">
        <v>71</v>
      </c>
      <c r="B33" s="189" t="s">
        <v>446</v>
      </c>
      <c r="C33" s="170">
        <v>24037616</v>
      </c>
      <c r="D33" s="170">
        <f t="shared" si="4"/>
        <v>0</v>
      </c>
      <c r="E33" s="170">
        <v>0</v>
      </c>
      <c r="F33" s="170">
        <v>0</v>
      </c>
      <c r="G33" s="170">
        <v>24037616</v>
      </c>
      <c r="H33" s="170">
        <v>24037616</v>
      </c>
      <c r="I33" s="170">
        <f t="shared" si="5"/>
        <v>0</v>
      </c>
      <c r="J33" s="171">
        <f t="shared" si="0"/>
        <v>0</v>
      </c>
      <c r="L33" s="387"/>
    </row>
    <row r="34" spans="1:12" s="15" customFormat="1">
      <c r="A34" s="188" t="s">
        <v>456</v>
      </c>
      <c r="B34" s="189" t="s">
        <v>455</v>
      </c>
      <c r="C34" s="170"/>
      <c r="D34" s="170">
        <f t="shared" ref="D34" si="6">E34+F34</f>
        <v>0</v>
      </c>
      <c r="E34" s="170">
        <v>0</v>
      </c>
      <c r="F34" s="170">
        <v>0</v>
      </c>
      <c r="G34" s="170">
        <v>0</v>
      </c>
      <c r="H34" s="170">
        <v>0</v>
      </c>
      <c r="I34" s="170">
        <f t="shared" ref="I34" si="7">G34-H34</f>
        <v>0</v>
      </c>
      <c r="J34" s="171">
        <f t="shared" si="0"/>
        <v>0</v>
      </c>
      <c r="L34" s="387"/>
    </row>
    <row r="35" spans="1:12" s="15" customFormat="1">
      <c r="A35" s="188" t="s">
        <v>115</v>
      </c>
      <c r="B35" s="187" t="s">
        <v>113</v>
      </c>
      <c r="C35" s="170">
        <v>843757</v>
      </c>
      <c r="D35" s="170">
        <f t="shared" si="4"/>
        <v>-150962</v>
      </c>
      <c r="E35" s="170">
        <v>-149705</v>
      </c>
      <c r="F35" s="170">
        <v>-1257</v>
      </c>
      <c r="G35" s="170">
        <v>692795</v>
      </c>
      <c r="H35" s="170">
        <v>690691</v>
      </c>
      <c r="I35" s="170">
        <f t="shared" si="5"/>
        <v>2104</v>
      </c>
      <c r="J35" s="171">
        <f t="shared" si="0"/>
        <v>0</v>
      </c>
      <c r="L35" s="387"/>
    </row>
    <row r="36" spans="1:12" s="15" customFormat="1">
      <c r="A36" s="188" t="s">
        <v>116</v>
      </c>
      <c r="B36" s="187" t="s">
        <v>114</v>
      </c>
      <c r="C36" s="170">
        <v>12377372</v>
      </c>
      <c r="D36" s="170">
        <f t="shared" si="4"/>
        <v>401168</v>
      </c>
      <c r="E36" s="170">
        <v>300212</v>
      </c>
      <c r="F36" s="170">
        <v>100956</v>
      </c>
      <c r="G36" s="170">
        <v>12778540</v>
      </c>
      <c r="H36" s="170">
        <v>13677636</v>
      </c>
      <c r="I36" s="170">
        <f t="shared" si="5"/>
        <v>-899096</v>
      </c>
      <c r="J36" s="171">
        <f t="shared" si="0"/>
        <v>0</v>
      </c>
      <c r="L36" s="387"/>
    </row>
    <row r="37" spans="1:12" s="15" customFormat="1">
      <c r="A37" s="188" t="s">
        <v>121</v>
      </c>
      <c r="B37" s="187" t="s">
        <v>447</v>
      </c>
      <c r="C37" s="170"/>
      <c r="D37" s="170">
        <f t="shared" si="4"/>
        <v>0</v>
      </c>
      <c r="E37" s="170">
        <v>0</v>
      </c>
      <c r="F37" s="170">
        <v>0</v>
      </c>
      <c r="G37" s="170">
        <v>0</v>
      </c>
      <c r="H37" s="170">
        <v>0</v>
      </c>
      <c r="I37" s="170">
        <f t="shared" si="5"/>
        <v>0</v>
      </c>
      <c r="J37" s="171">
        <f t="shared" si="0"/>
        <v>0</v>
      </c>
      <c r="L37" s="387"/>
    </row>
    <row r="38" spans="1:12" s="15" customFormat="1">
      <c r="A38" s="183" t="s">
        <v>73</v>
      </c>
      <c r="B38" s="187" t="s">
        <v>74</v>
      </c>
      <c r="C38" s="170">
        <v>91937700</v>
      </c>
      <c r="D38" s="170">
        <f t="shared" si="4"/>
        <v>-7439416</v>
      </c>
      <c r="E38" s="170">
        <v>-7440257</v>
      </c>
      <c r="F38" s="170">
        <v>841</v>
      </c>
      <c r="G38" s="170">
        <v>84498284</v>
      </c>
      <c r="H38" s="170">
        <v>81628016</v>
      </c>
      <c r="I38" s="170">
        <f t="shared" si="5"/>
        <v>2870268</v>
      </c>
      <c r="J38" s="171">
        <f t="shared" si="0"/>
        <v>0</v>
      </c>
      <c r="L38" s="387"/>
    </row>
    <row r="39" spans="1:12" s="15" customFormat="1">
      <c r="A39" s="183" t="s">
        <v>75</v>
      </c>
      <c r="B39" s="184" t="s">
        <v>76</v>
      </c>
      <c r="C39" s="170">
        <v>106405206</v>
      </c>
      <c r="D39" s="170">
        <f t="shared" si="4"/>
        <v>2208642</v>
      </c>
      <c r="E39" s="170">
        <v>1410088</v>
      </c>
      <c r="F39" s="170">
        <v>798554</v>
      </c>
      <c r="G39" s="170">
        <v>108613848</v>
      </c>
      <c r="H39" s="170">
        <v>81757166</v>
      </c>
      <c r="I39" s="170">
        <f t="shared" si="5"/>
        <v>26856682</v>
      </c>
      <c r="J39" s="171">
        <f t="shared" si="0"/>
        <v>0</v>
      </c>
      <c r="L39" s="387"/>
    </row>
    <row r="40" spans="1:12" s="15" customFormat="1">
      <c r="A40" s="188" t="s">
        <v>131</v>
      </c>
      <c r="B40" s="189" t="s">
        <v>132</v>
      </c>
      <c r="C40" s="170">
        <v>7736130</v>
      </c>
      <c r="D40" s="170">
        <f t="shared" si="4"/>
        <v>957831</v>
      </c>
      <c r="E40" s="170">
        <v>972147</v>
      </c>
      <c r="F40" s="170">
        <v>-14316</v>
      </c>
      <c r="G40" s="170">
        <v>8693961</v>
      </c>
      <c r="H40" s="170">
        <v>8693961</v>
      </c>
      <c r="I40" s="170">
        <f t="shared" si="5"/>
        <v>0</v>
      </c>
      <c r="J40" s="171">
        <f>G40-C40-D40</f>
        <v>0</v>
      </c>
      <c r="L40" s="387"/>
    </row>
    <row r="41" spans="1:12" s="15" customFormat="1">
      <c r="A41" s="188" t="s">
        <v>77</v>
      </c>
      <c r="B41" s="409" t="s">
        <v>78</v>
      </c>
      <c r="C41" s="170">
        <v>11892033</v>
      </c>
      <c r="D41" s="170">
        <f t="shared" si="4"/>
        <v>-168626</v>
      </c>
      <c r="E41" s="170">
        <v>-147264</v>
      </c>
      <c r="F41" s="170">
        <v>-21362</v>
      </c>
      <c r="G41" s="170">
        <v>11723407</v>
      </c>
      <c r="H41" s="170">
        <v>10975311</v>
      </c>
      <c r="I41" s="170">
        <f t="shared" si="5"/>
        <v>748096</v>
      </c>
      <c r="J41" s="171">
        <f t="shared" si="0"/>
        <v>0</v>
      </c>
      <c r="L41" s="387"/>
    </row>
    <row r="42" spans="1:12" s="15" customFormat="1">
      <c r="A42" s="183" t="s">
        <v>79</v>
      </c>
      <c r="B42" s="185" t="s">
        <v>80</v>
      </c>
      <c r="C42" s="170">
        <v>155385168</v>
      </c>
      <c r="D42" s="170">
        <f t="shared" si="4"/>
        <v>5161985</v>
      </c>
      <c r="E42" s="170">
        <v>3866720</v>
      </c>
      <c r="F42" s="170">
        <v>1295265</v>
      </c>
      <c r="G42" s="170">
        <v>160547153</v>
      </c>
      <c r="H42" s="170">
        <v>171638269</v>
      </c>
      <c r="I42" s="170">
        <f t="shared" si="5"/>
        <v>-11091116</v>
      </c>
      <c r="J42" s="171">
        <f t="shared" si="0"/>
        <v>0</v>
      </c>
      <c r="L42" s="387"/>
    </row>
    <row r="43" spans="1:12" s="15" customFormat="1">
      <c r="A43" s="183" t="s">
        <v>133</v>
      </c>
      <c r="B43" s="184" t="s">
        <v>134</v>
      </c>
      <c r="C43" s="170">
        <v>36913</v>
      </c>
      <c r="D43" s="170">
        <f t="shared" si="4"/>
        <v>1764</v>
      </c>
      <c r="E43" s="170">
        <v>1764</v>
      </c>
      <c r="F43" s="170">
        <v>0</v>
      </c>
      <c r="G43" s="170">
        <v>38677</v>
      </c>
      <c r="H43" s="170">
        <v>38677</v>
      </c>
      <c r="I43" s="170">
        <f t="shared" si="5"/>
        <v>0</v>
      </c>
      <c r="J43" s="171">
        <f t="shared" si="0"/>
        <v>0</v>
      </c>
      <c r="L43" s="387"/>
    </row>
    <row r="44" spans="1:12" s="15" customFormat="1">
      <c r="A44" s="183" t="s">
        <v>81</v>
      </c>
      <c r="B44" s="185" t="s">
        <v>448</v>
      </c>
      <c r="C44" s="170">
        <v>28983072</v>
      </c>
      <c r="D44" s="170">
        <f t="shared" si="4"/>
        <v>0</v>
      </c>
      <c r="E44" s="170">
        <v>0</v>
      </c>
      <c r="F44" s="170">
        <v>0</v>
      </c>
      <c r="G44" s="170">
        <v>28983072</v>
      </c>
      <c r="H44" s="170">
        <v>28983072</v>
      </c>
      <c r="I44" s="170">
        <f t="shared" si="5"/>
        <v>0</v>
      </c>
      <c r="J44" s="171">
        <f t="shared" ref="J44:J67" si="8">G44-C44-D44</f>
        <v>0</v>
      </c>
      <c r="L44" s="387"/>
    </row>
    <row r="45" spans="1:12" s="15" customFormat="1">
      <c r="A45" s="183" t="s">
        <v>82</v>
      </c>
      <c r="B45" s="190" t="s">
        <v>449</v>
      </c>
      <c r="C45" s="170">
        <v>3927971</v>
      </c>
      <c r="D45" s="170">
        <f t="shared" si="4"/>
        <v>2013557</v>
      </c>
      <c r="E45" s="170">
        <v>2013557</v>
      </c>
      <c r="F45" s="170">
        <v>0</v>
      </c>
      <c r="G45" s="170">
        <v>5941528</v>
      </c>
      <c r="H45" s="170">
        <v>5941528</v>
      </c>
      <c r="I45" s="170">
        <f t="shared" si="5"/>
        <v>0</v>
      </c>
      <c r="J45" s="171">
        <f t="shared" si="8"/>
        <v>0</v>
      </c>
      <c r="L45" s="387"/>
    </row>
    <row r="46" spans="1:12" s="15" customFormat="1">
      <c r="A46" s="183" t="s">
        <v>83</v>
      </c>
      <c r="B46" s="184" t="s">
        <v>450</v>
      </c>
      <c r="C46" s="170">
        <v>9003789</v>
      </c>
      <c r="D46" s="170">
        <f t="shared" si="4"/>
        <v>-1240992</v>
      </c>
      <c r="E46" s="170">
        <v>-1240992</v>
      </c>
      <c r="F46" s="170">
        <v>0</v>
      </c>
      <c r="G46" s="170">
        <v>7762797</v>
      </c>
      <c r="H46" s="170">
        <v>7762797</v>
      </c>
      <c r="I46" s="170">
        <f t="shared" si="5"/>
        <v>0</v>
      </c>
      <c r="J46" s="171">
        <f t="shared" si="8"/>
        <v>0</v>
      </c>
      <c r="L46" s="387"/>
    </row>
    <row r="47" spans="1:12" s="15" customFormat="1">
      <c r="A47" s="183" t="s">
        <v>140</v>
      </c>
      <c r="B47" s="184" t="s">
        <v>451</v>
      </c>
      <c r="C47" s="170"/>
      <c r="D47" s="170">
        <f t="shared" si="4"/>
        <v>0</v>
      </c>
      <c r="E47" s="170">
        <v>0</v>
      </c>
      <c r="F47" s="170">
        <v>0</v>
      </c>
      <c r="G47" s="170">
        <v>0</v>
      </c>
      <c r="H47" s="170">
        <v>0</v>
      </c>
      <c r="I47" s="170">
        <f t="shared" si="5"/>
        <v>0</v>
      </c>
      <c r="J47" s="171">
        <f t="shared" si="8"/>
        <v>0</v>
      </c>
      <c r="L47" s="387"/>
    </row>
    <row r="48" spans="1:12" s="15" customFormat="1">
      <c r="A48" s="183" t="s">
        <v>142</v>
      </c>
      <c r="B48" s="184" t="s">
        <v>452</v>
      </c>
      <c r="C48" s="170"/>
      <c r="D48" s="170">
        <f t="shared" si="4"/>
        <v>0</v>
      </c>
      <c r="E48" s="170">
        <v>0</v>
      </c>
      <c r="F48" s="170">
        <v>0</v>
      </c>
      <c r="G48" s="170">
        <v>0</v>
      </c>
      <c r="H48" s="170">
        <v>0</v>
      </c>
      <c r="I48" s="170">
        <f t="shared" si="5"/>
        <v>0</v>
      </c>
      <c r="J48" s="171">
        <f t="shared" si="8"/>
        <v>0</v>
      </c>
      <c r="L48" s="387"/>
    </row>
    <row r="49" spans="1:12" s="15" customFormat="1">
      <c r="A49" s="183" t="s">
        <v>112</v>
      </c>
      <c r="B49" s="189" t="s">
        <v>125</v>
      </c>
      <c r="C49" s="170">
        <v>13338938</v>
      </c>
      <c r="D49" s="170">
        <f t="shared" si="4"/>
        <v>1095720</v>
      </c>
      <c r="E49" s="170">
        <v>1126730</v>
      </c>
      <c r="F49" s="170">
        <v>-31010</v>
      </c>
      <c r="G49" s="170">
        <v>14434658</v>
      </c>
      <c r="H49" s="170">
        <v>14434658</v>
      </c>
      <c r="I49" s="170">
        <f t="shared" si="5"/>
        <v>0</v>
      </c>
      <c r="J49" s="171">
        <f t="shared" si="8"/>
        <v>0</v>
      </c>
      <c r="L49" s="387"/>
    </row>
    <row r="50" spans="1:12" s="15" customFormat="1">
      <c r="A50" s="183" t="s">
        <v>179</v>
      </c>
      <c r="B50" s="189" t="s">
        <v>453</v>
      </c>
      <c r="C50" s="170">
        <v>18374384</v>
      </c>
      <c r="D50" s="170">
        <f t="shared" si="4"/>
        <v>1694640</v>
      </c>
      <c r="E50" s="170">
        <v>65202</v>
      </c>
      <c r="F50" s="170">
        <v>1629438</v>
      </c>
      <c r="G50" s="170">
        <v>20069024</v>
      </c>
      <c r="H50" s="170">
        <v>20069024</v>
      </c>
      <c r="I50" s="170">
        <f t="shared" si="5"/>
        <v>0</v>
      </c>
      <c r="J50" s="171">
        <f t="shared" si="8"/>
        <v>0</v>
      </c>
      <c r="L50" s="387"/>
    </row>
    <row r="51" spans="1:12" s="15" customFormat="1">
      <c r="A51" s="183" t="s">
        <v>371</v>
      </c>
      <c r="B51" s="189" t="s">
        <v>454</v>
      </c>
      <c r="C51" s="170"/>
      <c r="D51" s="170">
        <f t="shared" si="4"/>
        <v>0</v>
      </c>
      <c r="E51" s="170">
        <v>0</v>
      </c>
      <c r="F51" s="170">
        <v>0</v>
      </c>
      <c r="G51" s="170">
        <v>0</v>
      </c>
      <c r="H51" s="170">
        <v>0</v>
      </c>
      <c r="I51" s="170">
        <f t="shared" si="5"/>
        <v>0</v>
      </c>
      <c r="J51" s="171">
        <f>G51-C51-D51</f>
        <v>0</v>
      </c>
      <c r="L51" s="387"/>
    </row>
    <row r="52" spans="1:12" s="15" customFormat="1">
      <c r="A52" s="183" t="s">
        <v>474</v>
      </c>
      <c r="B52" s="189" t="s">
        <v>473</v>
      </c>
      <c r="C52" s="170"/>
      <c r="D52" s="170">
        <f t="shared" ref="D52:D55" si="9">E52+F52</f>
        <v>0</v>
      </c>
      <c r="E52" s="170">
        <v>0</v>
      </c>
      <c r="F52" s="170">
        <v>0</v>
      </c>
      <c r="G52" s="170">
        <v>0</v>
      </c>
      <c r="H52" s="170">
        <v>0</v>
      </c>
      <c r="I52" s="170">
        <f t="shared" ref="I52:I55" si="10">G52-H52</f>
        <v>0</v>
      </c>
      <c r="J52" s="171">
        <f>G52-C52-D52</f>
        <v>0</v>
      </c>
      <c r="L52" s="387"/>
    </row>
    <row r="53" spans="1:12" s="15" customFormat="1">
      <c r="A53" s="183" t="s">
        <v>596</v>
      </c>
      <c r="B53" s="189" t="s">
        <v>595</v>
      </c>
      <c r="C53" s="170"/>
      <c r="D53" s="170">
        <f t="shared" ref="D53:E53" si="11">E53+F53</f>
        <v>5884261</v>
      </c>
      <c r="E53" s="170">
        <f t="shared" si="11"/>
        <v>5884261</v>
      </c>
      <c r="F53" s="170">
        <v>0</v>
      </c>
      <c r="G53" s="170">
        <v>5884261</v>
      </c>
      <c r="H53" s="170">
        <v>5884261</v>
      </c>
      <c r="I53" s="170">
        <f t="shared" ref="I53" si="12">G53-H53</f>
        <v>0</v>
      </c>
      <c r="J53" s="171"/>
      <c r="L53" s="387"/>
    </row>
    <row r="54" spans="1:12" s="15" customFormat="1">
      <c r="A54" s="183" t="s">
        <v>475</v>
      </c>
      <c r="B54" s="189" t="s">
        <v>472</v>
      </c>
      <c r="C54" s="170"/>
      <c r="D54" s="170">
        <f t="shared" si="9"/>
        <v>2680546</v>
      </c>
      <c r="E54" s="170">
        <v>1680546</v>
      </c>
      <c r="F54" s="170">
        <v>1000000</v>
      </c>
      <c r="G54" s="170">
        <v>2680546</v>
      </c>
      <c r="H54" s="170">
        <v>2680546</v>
      </c>
      <c r="I54" s="170">
        <f t="shared" si="10"/>
        <v>0</v>
      </c>
      <c r="J54" s="171">
        <f t="shared" si="8"/>
        <v>0</v>
      </c>
      <c r="L54" s="387"/>
    </row>
    <row r="55" spans="1:12" s="15" customFormat="1">
      <c r="A55" s="183" t="s">
        <v>476</v>
      </c>
      <c r="B55" s="189" t="s">
        <v>471</v>
      </c>
      <c r="C55" s="170"/>
      <c r="D55" s="170">
        <f t="shared" si="9"/>
        <v>13072153</v>
      </c>
      <c r="E55" s="170">
        <v>7150000</v>
      </c>
      <c r="F55" s="170">
        <v>5922153</v>
      </c>
      <c r="G55" s="170">
        <v>13072153</v>
      </c>
      <c r="H55" s="170">
        <v>13072153</v>
      </c>
      <c r="I55" s="170">
        <f t="shared" si="10"/>
        <v>0</v>
      </c>
      <c r="J55" s="171">
        <f t="shared" si="8"/>
        <v>0</v>
      </c>
      <c r="L55" s="387"/>
    </row>
    <row r="56" spans="1:12" s="15" customFormat="1">
      <c r="A56" s="183" t="s">
        <v>485</v>
      </c>
      <c r="B56" s="189" t="s">
        <v>484</v>
      </c>
      <c r="C56" s="170"/>
      <c r="D56" s="170">
        <f t="shared" ref="D56:D58" si="13">E56+F56</f>
        <v>10734010</v>
      </c>
      <c r="E56" s="170">
        <v>10609858</v>
      </c>
      <c r="F56" s="170">
        <v>124152</v>
      </c>
      <c r="G56" s="170">
        <v>10734010</v>
      </c>
      <c r="H56" s="170">
        <v>10734010</v>
      </c>
      <c r="I56" s="170">
        <f t="shared" ref="I56:I57" si="14">G56-H56</f>
        <v>0</v>
      </c>
      <c r="J56" s="171">
        <f t="shared" si="8"/>
        <v>0</v>
      </c>
      <c r="L56" s="387"/>
    </row>
    <row r="57" spans="1:12" s="15" customFormat="1">
      <c r="A57" s="183" t="s">
        <v>493</v>
      </c>
      <c r="B57" s="189" t="s">
        <v>492</v>
      </c>
      <c r="C57" s="170"/>
      <c r="D57" s="170">
        <f t="shared" si="13"/>
        <v>0</v>
      </c>
      <c r="E57" s="170">
        <v>0</v>
      </c>
      <c r="F57" s="170">
        <v>0</v>
      </c>
      <c r="G57" s="170">
        <v>0</v>
      </c>
      <c r="H57" s="170">
        <v>0</v>
      </c>
      <c r="I57" s="170">
        <f t="shared" si="14"/>
        <v>0</v>
      </c>
      <c r="J57" s="171">
        <f t="shared" si="8"/>
        <v>0</v>
      </c>
      <c r="L57" s="387"/>
    </row>
    <row r="58" spans="1:12" s="15" customFormat="1">
      <c r="A58" s="183" t="s">
        <v>553</v>
      </c>
      <c r="B58" s="189" t="s">
        <v>552</v>
      </c>
      <c r="C58" s="170"/>
      <c r="D58" s="170">
        <f t="shared" si="13"/>
        <v>2619173</v>
      </c>
      <c r="E58" s="170">
        <v>2619173</v>
      </c>
      <c r="F58" s="170">
        <v>0</v>
      </c>
      <c r="G58" s="170">
        <v>2619173</v>
      </c>
      <c r="H58" s="170">
        <v>2619173</v>
      </c>
      <c r="I58" s="170">
        <f t="shared" ref="I58" si="15">G58-H58</f>
        <v>0</v>
      </c>
      <c r="J58" s="171"/>
      <c r="L58" s="387"/>
    </row>
    <row r="59" spans="1:12" s="15" customFormat="1" ht="16.2">
      <c r="A59" s="173" t="s">
        <v>85</v>
      </c>
      <c r="B59" s="181"/>
      <c r="C59" s="191">
        <f t="shared" ref="C59:I59" si="16">SUM(C21:C58)</f>
        <v>949927249</v>
      </c>
      <c r="D59" s="191">
        <f t="shared" si="16"/>
        <v>42057643</v>
      </c>
      <c r="E59" s="191">
        <f t="shared" si="16"/>
        <v>31198674</v>
      </c>
      <c r="F59" s="191">
        <f t="shared" si="16"/>
        <v>10858969</v>
      </c>
      <c r="G59" s="191">
        <f t="shared" si="16"/>
        <v>991984892</v>
      </c>
      <c r="H59" s="191">
        <f t="shared" si="16"/>
        <v>973497954</v>
      </c>
      <c r="I59" s="191">
        <f t="shared" si="16"/>
        <v>18486938</v>
      </c>
      <c r="J59" s="171">
        <f t="shared" si="8"/>
        <v>0</v>
      </c>
      <c r="L59" s="387"/>
    </row>
    <row r="60" spans="1:12" s="15" customFormat="1" ht="16.2">
      <c r="A60" s="176"/>
      <c r="B60" s="182"/>
      <c r="C60" s="178"/>
      <c r="D60" s="178"/>
      <c r="E60" s="178"/>
      <c r="F60" s="178"/>
      <c r="G60" s="178"/>
      <c r="H60" s="178"/>
      <c r="I60" s="178"/>
      <c r="J60" s="171">
        <f t="shared" si="8"/>
        <v>0</v>
      </c>
    </row>
    <row r="61" spans="1:12" s="15" customFormat="1">
      <c r="A61" s="192" t="s">
        <v>86</v>
      </c>
      <c r="B61" s="184" t="s">
        <v>87</v>
      </c>
      <c r="C61" s="170">
        <v>6575898</v>
      </c>
      <c r="D61" s="170">
        <f>E61+F61</f>
        <v>252398</v>
      </c>
      <c r="E61" s="170">
        <v>58729</v>
      </c>
      <c r="F61" s="170">
        <v>193669</v>
      </c>
      <c r="G61" s="170">
        <v>6828296</v>
      </c>
      <c r="H61" s="170">
        <v>6828296</v>
      </c>
      <c r="I61" s="170">
        <f>G61-H61</f>
        <v>0</v>
      </c>
      <c r="J61" s="171">
        <f t="shared" si="8"/>
        <v>0</v>
      </c>
    </row>
    <row r="62" spans="1:12" s="15" customFormat="1">
      <c r="A62" s="192" t="s">
        <v>88</v>
      </c>
      <c r="B62" s="184" t="s">
        <v>89</v>
      </c>
      <c r="C62" s="170">
        <v>20221</v>
      </c>
      <c r="D62" s="170">
        <f>E62+F62</f>
        <v>99966</v>
      </c>
      <c r="E62" s="170">
        <v>99966</v>
      </c>
      <c r="F62" s="170">
        <v>0</v>
      </c>
      <c r="G62" s="170">
        <v>120187</v>
      </c>
      <c r="H62" s="170">
        <v>120187</v>
      </c>
      <c r="I62" s="170">
        <f>G62-H62</f>
        <v>0</v>
      </c>
      <c r="J62" s="171">
        <f>G62-C62-D62</f>
        <v>0</v>
      </c>
    </row>
    <row r="63" spans="1:12" s="15" customFormat="1">
      <c r="A63" s="192" t="s">
        <v>90</v>
      </c>
      <c r="B63" s="185" t="s">
        <v>91</v>
      </c>
      <c r="C63" s="170">
        <v>772839</v>
      </c>
      <c r="D63" s="170">
        <f>E63+F63</f>
        <v>0</v>
      </c>
      <c r="E63" s="170">
        <v>0</v>
      </c>
      <c r="F63" s="170">
        <v>0</v>
      </c>
      <c r="G63" s="170">
        <v>772839</v>
      </c>
      <c r="H63" s="170">
        <v>772839</v>
      </c>
      <c r="I63" s="170">
        <f>G63-H63</f>
        <v>0</v>
      </c>
      <c r="J63" s="171">
        <f t="shared" si="8"/>
        <v>0</v>
      </c>
    </row>
    <row r="64" spans="1:12" s="15" customFormat="1">
      <c r="A64" s="192" t="s">
        <v>156</v>
      </c>
      <c r="B64" s="184" t="s">
        <v>155</v>
      </c>
      <c r="C64" s="170">
        <v>8792</v>
      </c>
      <c r="D64" s="170">
        <f>E64+F64</f>
        <v>0</v>
      </c>
      <c r="E64" s="170">
        <v>0</v>
      </c>
      <c r="F64" s="170">
        <v>0</v>
      </c>
      <c r="G64" s="170">
        <v>8792</v>
      </c>
      <c r="H64" s="170">
        <v>8792</v>
      </c>
      <c r="I64" s="170">
        <f>G64-H64</f>
        <v>0</v>
      </c>
      <c r="J64" s="171">
        <f t="shared" si="8"/>
        <v>0</v>
      </c>
    </row>
    <row r="65" spans="1:10" s="15" customFormat="1">
      <c r="A65" s="173" t="s">
        <v>186</v>
      </c>
      <c r="B65" s="193"/>
      <c r="C65" s="175">
        <f t="shared" ref="C65:I65" si="17">SUM(C61:C64)</f>
        <v>7377750</v>
      </c>
      <c r="D65" s="175">
        <f t="shared" si="17"/>
        <v>352364</v>
      </c>
      <c r="E65" s="175">
        <v>-280013</v>
      </c>
      <c r="F65" s="175">
        <f>SUM(F61:F64)</f>
        <v>193669</v>
      </c>
      <c r="G65" s="175">
        <f>SUM(G61:G64)</f>
        <v>7730114</v>
      </c>
      <c r="H65" s="175">
        <f t="shared" si="17"/>
        <v>7730114</v>
      </c>
      <c r="I65" s="175">
        <f t="shared" si="17"/>
        <v>0</v>
      </c>
      <c r="J65" s="171">
        <f t="shared" si="8"/>
        <v>0</v>
      </c>
    </row>
    <row r="66" spans="1:10" s="15" customFormat="1">
      <c r="A66" s="194"/>
      <c r="B66" s="195"/>
      <c r="C66" s="178"/>
      <c r="D66" s="178"/>
      <c r="E66" s="178"/>
      <c r="F66" s="178"/>
      <c r="G66" s="178"/>
      <c r="H66" s="178"/>
      <c r="I66" s="178"/>
      <c r="J66" s="171">
        <f t="shared" si="8"/>
        <v>0</v>
      </c>
    </row>
    <row r="67" spans="1:10" s="15" customFormat="1" ht="16.2" thickBot="1">
      <c r="A67" s="196" t="s">
        <v>92</v>
      </c>
      <c r="B67" s="197"/>
      <c r="C67" s="198">
        <f t="shared" ref="C67:I67" si="18">SUM(C65,C59,C19)</f>
        <v>2288660266</v>
      </c>
      <c r="D67" s="198">
        <f t="shared" si="18"/>
        <v>114994761</v>
      </c>
      <c r="E67" s="198">
        <v>83940257</v>
      </c>
      <c r="F67" s="199">
        <f t="shared" si="18"/>
        <v>11052638</v>
      </c>
      <c r="G67" s="199">
        <f t="shared" si="18"/>
        <v>2403655027</v>
      </c>
      <c r="H67" s="199">
        <f t="shared" si="18"/>
        <v>2401107493</v>
      </c>
      <c r="I67" s="199">
        <f t="shared" si="18"/>
        <v>2547534</v>
      </c>
      <c r="J67" s="171">
        <f t="shared" si="8"/>
        <v>0</v>
      </c>
    </row>
    <row r="68" spans="1:10" s="15" customFormat="1" ht="14.4" thickTop="1">
      <c r="B68" s="39"/>
      <c r="C68" s="40"/>
      <c r="D68" s="16"/>
      <c r="E68" s="16"/>
      <c r="F68" s="16"/>
      <c r="G68" s="16"/>
      <c r="H68" s="16"/>
      <c r="I68" s="16"/>
    </row>
    <row r="69" spans="1:10" s="15" customFormat="1" ht="13.8">
      <c r="B69" s="40"/>
      <c r="C69" s="40"/>
      <c r="D69" s="40"/>
      <c r="E69" s="16"/>
      <c r="F69" s="16"/>
      <c r="G69" s="16"/>
      <c r="H69" s="16"/>
      <c r="I69" s="16"/>
    </row>
    <row r="70" spans="1:10" s="15" customFormat="1" ht="13.8">
      <c r="B70" s="40"/>
      <c r="C70" s="40"/>
      <c r="D70" s="40"/>
      <c r="E70" s="16"/>
      <c r="F70" s="40"/>
      <c r="G70" s="16"/>
      <c r="H70" s="16"/>
      <c r="I70" s="16"/>
    </row>
    <row r="71" spans="1:10" s="15" customFormat="1" ht="13.8">
      <c r="B71" s="41"/>
      <c r="C71" s="40"/>
      <c r="D71" s="16"/>
      <c r="E71" s="16"/>
      <c r="F71" s="16"/>
      <c r="G71" s="16"/>
      <c r="H71" s="16"/>
      <c r="I71" s="16"/>
    </row>
    <row r="72" spans="1:10" s="15" customFormat="1" ht="13.8">
      <c r="B72" s="41"/>
      <c r="C72" s="40"/>
      <c r="D72" s="16"/>
      <c r="E72" s="16"/>
      <c r="F72" s="16"/>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sheetData>
  <phoneticPr fontId="11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5"/>
  <sheetViews>
    <sheetView zoomScale="65" zoomScaleNormal="65" workbookViewId="0">
      <pane ySplit="6" topLeftCell="A7" activePane="bottomLeft" state="frozen"/>
      <selection activeCell="AM66" sqref="AM66"/>
      <selection pane="bottomLeft" activeCell="L25" sqref="L25"/>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0" width="15.109375" style="6" bestFit="1" customWidth="1"/>
    <col min="11" max="11" width="16" style="6" bestFit="1" customWidth="1"/>
    <col min="12" max="12" width="16" style="6" customWidth="1"/>
    <col min="13" max="13" width="16.44140625" style="6" bestFit="1" customWidth="1"/>
    <col min="14" max="14" width="13.88671875" style="6" customWidth="1"/>
    <col min="15" max="15" width="18.109375" style="6" bestFit="1" customWidth="1"/>
    <col min="16" max="16" width="16" style="5" bestFit="1" customWidth="1"/>
    <col min="17" max="17" width="12.109375" style="5" bestFit="1" customWidth="1"/>
    <col min="18" max="16384" width="9.109375" style="5"/>
  </cols>
  <sheetData>
    <row r="1" spans="1:17" s="4" customFormat="1" ht="16.2">
      <c r="A1" s="200" t="s">
        <v>3</v>
      </c>
      <c r="B1" s="200"/>
      <c r="C1" s="200"/>
      <c r="D1" s="200"/>
      <c r="E1" s="200"/>
      <c r="F1" s="200"/>
      <c r="G1" s="200"/>
      <c r="H1" s="200"/>
      <c r="I1" s="200"/>
      <c r="J1" s="200"/>
      <c r="K1" s="200"/>
      <c r="L1" s="200"/>
      <c r="M1" s="200"/>
      <c r="N1" s="200"/>
      <c r="O1" s="200"/>
    </row>
    <row r="2" spans="1:17" s="1" customFormat="1" ht="15.6">
      <c r="A2" s="201" t="s">
        <v>513</v>
      </c>
      <c r="B2" s="201"/>
      <c r="C2" s="201"/>
      <c r="D2" s="201"/>
      <c r="E2" s="201"/>
      <c r="F2" s="201"/>
      <c r="G2" s="201"/>
      <c r="H2" s="201"/>
      <c r="I2" s="201"/>
      <c r="J2" s="201"/>
      <c r="K2" s="201"/>
      <c r="L2" s="201"/>
      <c r="M2" s="201"/>
      <c r="N2" s="201"/>
      <c r="O2" s="201"/>
    </row>
    <row r="3" spans="1:17" s="1" customFormat="1" ht="15.6">
      <c r="A3" s="151" t="str">
        <f>'Schedule 1'!A3:L3</f>
        <v>Data Through December 31, 2021</v>
      </c>
      <c r="B3" s="151"/>
      <c r="C3" s="151"/>
      <c r="D3" s="151"/>
      <c r="E3" s="151"/>
      <c r="F3" s="151"/>
      <c r="G3" s="151"/>
      <c r="H3" s="151"/>
      <c r="I3" s="151"/>
      <c r="J3" s="151"/>
      <c r="K3" s="151"/>
      <c r="L3" s="151"/>
      <c r="M3" s="151"/>
      <c r="N3" s="151"/>
      <c r="O3" s="151"/>
    </row>
    <row r="4" spans="1:17" ht="15.6">
      <c r="A4" s="151"/>
      <c r="B4" s="151"/>
      <c r="C4" s="151"/>
      <c r="D4" s="151"/>
      <c r="E4" s="151"/>
      <c r="F4" s="151"/>
      <c r="G4" s="151"/>
      <c r="H4" s="151"/>
      <c r="I4" s="151"/>
      <c r="J4" s="151"/>
      <c r="K4" s="151"/>
      <c r="L4" s="151"/>
      <c r="M4" s="151"/>
      <c r="N4" s="151"/>
      <c r="O4" s="151"/>
    </row>
    <row r="5" spans="1:17" s="15" customFormat="1" ht="15.6">
      <c r="A5" s="618"/>
      <c r="B5" s="619"/>
      <c r="C5" s="203"/>
      <c r="D5" s="203"/>
      <c r="E5" s="620" t="s">
        <v>6</v>
      </c>
      <c r="F5" s="621"/>
      <c r="G5" s="621"/>
      <c r="H5" s="621"/>
      <c r="I5" s="621"/>
      <c r="J5" s="621"/>
      <c r="K5" s="621"/>
      <c r="L5" s="621"/>
      <c r="M5" s="621"/>
      <c r="N5" s="204"/>
      <c r="O5" s="205"/>
    </row>
    <row r="6" spans="1:17" s="15" customFormat="1" ht="32.4">
      <c r="A6" s="206"/>
      <c r="B6" s="207"/>
      <c r="C6" s="208" t="s">
        <v>4</v>
      </c>
      <c r="D6" s="208" t="s">
        <v>5</v>
      </c>
      <c r="E6" s="209" t="s">
        <v>226</v>
      </c>
      <c r="F6" s="209" t="s">
        <v>353</v>
      </c>
      <c r="G6" s="210" t="s">
        <v>183</v>
      </c>
      <c r="H6" s="209" t="s">
        <v>227</v>
      </c>
      <c r="I6" s="209" t="s">
        <v>228</v>
      </c>
      <c r="J6" s="209" t="s">
        <v>295</v>
      </c>
      <c r="K6" s="210" t="s">
        <v>184</v>
      </c>
      <c r="L6" s="469" t="s">
        <v>579</v>
      </c>
      <c r="M6" s="211" t="s">
        <v>137</v>
      </c>
      <c r="N6" s="212" t="s">
        <v>138</v>
      </c>
      <c r="O6" s="213" t="s">
        <v>139</v>
      </c>
    </row>
    <row r="7" spans="1:17" s="15" customFormat="1" ht="9" customHeight="1">
      <c r="A7" s="214"/>
      <c r="B7" s="214"/>
      <c r="C7" s="215"/>
      <c r="D7" s="215"/>
      <c r="E7" s="216"/>
      <c r="F7" s="216"/>
      <c r="G7" s="217"/>
      <c r="H7" s="216"/>
      <c r="I7" s="216"/>
      <c r="J7" s="216"/>
      <c r="K7" s="217"/>
      <c r="L7" s="217"/>
      <c r="M7" s="217"/>
      <c r="N7" s="217"/>
      <c r="O7" s="217"/>
    </row>
    <row r="8" spans="1:17" s="69" customFormat="1" ht="18" customHeight="1">
      <c r="A8" s="126" t="s">
        <v>22</v>
      </c>
      <c r="B8" s="126" t="s">
        <v>7</v>
      </c>
      <c r="C8" s="218">
        <v>16961639</v>
      </c>
      <c r="D8" s="218">
        <v>0</v>
      </c>
      <c r="E8" s="218">
        <v>10336506</v>
      </c>
      <c r="F8" s="218">
        <v>0</v>
      </c>
      <c r="G8" s="218">
        <v>141165</v>
      </c>
      <c r="H8" s="218">
        <v>2253364</v>
      </c>
      <c r="I8" s="218">
        <v>278127</v>
      </c>
      <c r="J8" s="218">
        <v>0</v>
      </c>
      <c r="K8" s="218">
        <v>0</v>
      </c>
      <c r="L8" s="218">
        <v>0</v>
      </c>
      <c r="M8" s="218">
        <f>SUM(E8:L8)</f>
        <v>13009162</v>
      </c>
      <c r="N8" s="218">
        <v>0</v>
      </c>
      <c r="O8" s="218">
        <f>SUM(C8,D8,M8,N8)</f>
        <v>29970801</v>
      </c>
      <c r="P8" s="339"/>
      <c r="Q8" s="339"/>
    </row>
    <row r="9" spans="1:17" s="69" customFormat="1" ht="18" customHeight="1">
      <c r="A9" s="616" t="s">
        <v>221</v>
      </c>
      <c r="B9" s="617"/>
      <c r="C9" s="219">
        <f>C8</f>
        <v>16961639</v>
      </c>
      <c r="D9" s="219">
        <f t="shared" ref="D9:J9" si="0">D8</f>
        <v>0</v>
      </c>
      <c r="E9" s="219">
        <f t="shared" si="0"/>
        <v>10336506</v>
      </c>
      <c r="F9" s="219">
        <f t="shared" si="0"/>
        <v>0</v>
      </c>
      <c r="G9" s="219">
        <f t="shared" si="0"/>
        <v>141165</v>
      </c>
      <c r="H9" s="219">
        <f t="shared" si="0"/>
        <v>2253364</v>
      </c>
      <c r="I9" s="219">
        <f t="shared" si="0"/>
        <v>278127</v>
      </c>
      <c r="J9" s="219">
        <f t="shared" si="0"/>
        <v>0</v>
      </c>
      <c r="K9" s="219">
        <f>K8</f>
        <v>0</v>
      </c>
      <c r="L9" s="219"/>
      <c r="M9" s="219">
        <f>M8</f>
        <v>13009162</v>
      </c>
      <c r="N9" s="219">
        <f>N8</f>
        <v>0</v>
      </c>
      <c r="O9" s="219">
        <f>O8</f>
        <v>29970801</v>
      </c>
      <c r="P9" s="339"/>
      <c r="Q9" s="339"/>
    </row>
    <row r="10" spans="1:17" s="69" customFormat="1" ht="18" customHeight="1">
      <c r="A10" s="126" t="s">
        <v>23</v>
      </c>
      <c r="B10" s="126" t="s">
        <v>8</v>
      </c>
      <c r="C10" s="218">
        <v>590933193</v>
      </c>
      <c r="D10" s="218">
        <v>0</v>
      </c>
      <c r="E10" s="218">
        <v>126128400</v>
      </c>
      <c r="F10" s="218">
        <v>0</v>
      </c>
      <c r="G10" s="218">
        <v>57729068</v>
      </c>
      <c r="H10" s="218">
        <v>937990</v>
      </c>
      <c r="I10" s="218">
        <v>10307337</v>
      </c>
      <c r="J10" s="218">
        <v>0</v>
      </c>
      <c r="K10" s="218">
        <v>33557786</v>
      </c>
      <c r="L10" s="218">
        <v>0</v>
      </c>
      <c r="M10" s="218">
        <f t="shared" ref="M10:M20" si="1">SUM(E10:L10)</f>
        <v>228660581</v>
      </c>
      <c r="N10" s="218">
        <v>6112915</v>
      </c>
      <c r="O10" s="218">
        <f t="shared" ref="O10:O20" si="2">SUM(C10,D10,M10,N10)</f>
        <v>825706689</v>
      </c>
      <c r="P10" s="339"/>
      <c r="Q10" s="339"/>
    </row>
    <row r="11" spans="1:17" s="69" customFormat="1" ht="18" customHeight="1">
      <c r="A11" s="126" t="s">
        <v>24</v>
      </c>
      <c r="B11" s="126" t="s">
        <v>9</v>
      </c>
      <c r="C11" s="218">
        <v>36561471</v>
      </c>
      <c r="D11" s="218">
        <v>0</v>
      </c>
      <c r="E11" s="218">
        <v>10812637</v>
      </c>
      <c r="F11" s="218">
        <v>0</v>
      </c>
      <c r="G11" s="218">
        <v>9176046</v>
      </c>
      <c r="H11" s="218">
        <v>727750</v>
      </c>
      <c r="I11" s="218">
        <v>389127</v>
      </c>
      <c r="J11" s="218">
        <v>0</v>
      </c>
      <c r="K11" s="218">
        <v>20234276</v>
      </c>
      <c r="L11" s="218">
        <v>0</v>
      </c>
      <c r="M11" s="218">
        <f t="shared" si="1"/>
        <v>41339836</v>
      </c>
      <c r="N11" s="218">
        <v>635921</v>
      </c>
      <c r="O11" s="218">
        <f t="shared" si="2"/>
        <v>78537228</v>
      </c>
      <c r="P11" s="339"/>
      <c r="Q11" s="339"/>
    </row>
    <row r="12" spans="1:17" s="69" customFormat="1" ht="18" customHeight="1">
      <c r="A12" s="126" t="s">
        <v>25</v>
      </c>
      <c r="B12" s="126" t="s">
        <v>159</v>
      </c>
      <c r="C12" s="218">
        <v>5650938</v>
      </c>
      <c r="D12" s="218">
        <v>0</v>
      </c>
      <c r="E12" s="218">
        <v>0</v>
      </c>
      <c r="F12" s="218">
        <v>45395946</v>
      </c>
      <c r="G12" s="218">
        <v>5660757</v>
      </c>
      <c r="H12" s="218">
        <v>0</v>
      </c>
      <c r="I12" s="218">
        <v>0</v>
      </c>
      <c r="J12" s="218">
        <v>0</v>
      </c>
      <c r="K12" s="218">
        <v>0</v>
      </c>
      <c r="L12" s="218">
        <v>0</v>
      </c>
      <c r="M12" s="218">
        <f t="shared" si="1"/>
        <v>51056703</v>
      </c>
      <c r="N12" s="218">
        <v>0</v>
      </c>
      <c r="O12" s="218">
        <f t="shared" si="2"/>
        <v>56707641</v>
      </c>
      <c r="P12" s="339"/>
      <c r="Q12" s="339"/>
    </row>
    <row r="13" spans="1:17" s="69" customFormat="1" ht="18" customHeight="1">
      <c r="A13" s="126" t="s">
        <v>26</v>
      </c>
      <c r="B13" s="126" t="s">
        <v>160</v>
      </c>
      <c r="C13" s="218">
        <v>7840589</v>
      </c>
      <c r="D13" s="218">
        <v>0</v>
      </c>
      <c r="E13" s="218">
        <v>0</v>
      </c>
      <c r="F13" s="218">
        <v>0</v>
      </c>
      <c r="G13" s="218">
        <v>0</v>
      </c>
      <c r="H13" s="218">
        <v>0</v>
      </c>
      <c r="I13" s="218">
        <v>0</v>
      </c>
      <c r="J13" s="218">
        <v>0</v>
      </c>
      <c r="K13" s="218">
        <v>4426970</v>
      </c>
      <c r="L13" s="218">
        <v>0</v>
      </c>
      <c r="M13" s="218">
        <f t="shared" si="1"/>
        <v>4426970</v>
      </c>
      <c r="N13" s="218">
        <v>0</v>
      </c>
      <c r="O13" s="218">
        <f t="shared" si="2"/>
        <v>12267559</v>
      </c>
      <c r="P13" s="339"/>
      <c r="Q13" s="339"/>
    </row>
    <row r="14" spans="1:17" s="69" customFormat="1" ht="18" customHeight="1">
      <c r="A14" s="126" t="s">
        <v>27</v>
      </c>
      <c r="B14" s="126" t="s">
        <v>161</v>
      </c>
      <c r="C14" s="218">
        <v>3987187</v>
      </c>
      <c r="D14" s="218">
        <v>0</v>
      </c>
      <c r="E14" s="218">
        <v>0</v>
      </c>
      <c r="F14" s="218">
        <v>0</v>
      </c>
      <c r="G14" s="218">
        <v>0</v>
      </c>
      <c r="H14" s="218">
        <v>0</v>
      </c>
      <c r="I14" s="218">
        <v>0</v>
      </c>
      <c r="J14" s="218">
        <v>0</v>
      </c>
      <c r="K14" s="218">
        <v>2428514</v>
      </c>
      <c r="L14" s="218">
        <v>0</v>
      </c>
      <c r="M14" s="218">
        <f t="shared" si="1"/>
        <v>2428514</v>
      </c>
      <c r="N14" s="218">
        <v>0</v>
      </c>
      <c r="O14" s="218">
        <f t="shared" si="2"/>
        <v>6415701</v>
      </c>
      <c r="P14" s="339"/>
      <c r="Q14" s="339"/>
    </row>
    <row r="15" spans="1:17" s="69" customFormat="1" ht="18" customHeight="1">
      <c r="A15" s="126" t="s">
        <v>100</v>
      </c>
      <c r="B15" s="126" t="s">
        <v>11</v>
      </c>
      <c r="C15" s="218">
        <v>1159636</v>
      </c>
      <c r="D15" s="218">
        <v>0</v>
      </c>
      <c r="E15" s="218">
        <v>0</v>
      </c>
      <c r="F15" s="218">
        <v>0</v>
      </c>
      <c r="G15" s="218">
        <v>0</v>
      </c>
      <c r="H15" s="218">
        <v>0</v>
      </c>
      <c r="I15" s="218">
        <v>0</v>
      </c>
      <c r="J15" s="218">
        <v>0</v>
      </c>
      <c r="K15" s="218">
        <v>7298082</v>
      </c>
      <c r="L15" s="218">
        <v>15752699</v>
      </c>
      <c r="M15" s="218">
        <f t="shared" si="1"/>
        <v>23050781</v>
      </c>
      <c r="N15" s="218">
        <v>25356</v>
      </c>
      <c r="O15" s="218">
        <f t="shared" si="2"/>
        <v>24235773</v>
      </c>
      <c r="P15" s="339"/>
      <c r="Q15" s="339"/>
    </row>
    <row r="16" spans="1:17" s="81" customFormat="1" ht="18" customHeight="1">
      <c r="A16" s="126" t="s">
        <v>101</v>
      </c>
      <c r="B16" s="126" t="s">
        <v>162</v>
      </c>
      <c r="C16" s="218">
        <v>13343961</v>
      </c>
      <c r="D16" s="218">
        <v>0</v>
      </c>
      <c r="E16" s="218">
        <v>198494</v>
      </c>
      <c r="F16" s="218">
        <v>0</v>
      </c>
      <c r="G16" s="218">
        <v>0</v>
      </c>
      <c r="H16" s="218">
        <v>0</v>
      </c>
      <c r="I16" s="218">
        <v>0</v>
      </c>
      <c r="J16" s="218">
        <v>0</v>
      </c>
      <c r="K16" s="218">
        <v>54735</v>
      </c>
      <c r="L16" s="218">
        <v>0</v>
      </c>
      <c r="M16" s="218">
        <f t="shared" si="1"/>
        <v>253229</v>
      </c>
      <c r="N16" s="218">
        <v>0</v>
      </c>
      <c r="O16" s="218">
        <f t="shared" si="2"/>
        <v>13597190</v>
      </c>
      <c r="P16" s="339"/>
      <c r="Q16" s="339"/>
    </row>
    <row r="17" spans="1:17" s="81" customFormat="1" ht="18" customHeight="1">
      <c r="A17" s="126" t="s">
        <v>102</v>
      </c>
      <c r="B17" s="126" t="s">
        <v>163</v>
      </c>
      <c r="C17" s="218">
        <v>21886925</v>
      </c>
      <c r="D17" s="218">
        <v>0</v>
      </c>
      <c r="E17" s="218">
        <v>2053865</v>
      </c>
      <c r="F17" s="218">
        <v>0</v>
      </c>
      <c r="G17" s="218">
        <v>231213</v>
      </c>
      <c r="H17" s="218">
        <v>0</v>
      </c>
      <c r="I17" s="218">
        <v>0</v>
      </c>
      <c r="J17" s="218">
        <v>0</v>
      </c>
      <c r="K17" s="218">
        <v>14091597</v>
      </c>
      <c r="L17" s="218">
        <v>0</v>
      </c>
      <c r="M17" s="218">
        <f t="shared" si="1"/>
        <v>16376675</v>
      </c>
      <c r="N17" s="218">
        <v>0</v>
      </c>
      <c r="O17" s="218">
        <f t="shared" si="2"/>
        <v>38263600</v>
      </c>
      <c r="P17" s="339"/>
      <c r="Q17" s="339"/>
    </row>
    <row r="18" spans="1:17" s="81" customFormat="1" ht="18" customHeight="1">
      <c r="A18" s="126" t="s">
        <v>103</v>
      </c>
      <c r="B18" s="126" t="s">
        <v>164</v>
      </c>
      <c r="C18" s="218">
        <v>383673615</v>
      </c>
      <c r="D18" s="218">
        <v>0</v>
      </c>
      <c r="E18" s="218">
        <v>156000000</v>
      </c>
      <c r="F18" s="218">
        <v>0</v>
      </c>
      <c r="G18" s="218">
        <v>99783628</v>
      </c>
      <c r="H18" s="218">
        <v>0</v>
      </c>
      <c r="I18" s="218">
        <v>0</v>
      </c>
      <c r="J18" s="218">
        <v>0</v>
      </c>
      <c r="K18" s="218">
        <v>2348958</v>
      </c>
      <c r="L18" s="218">
        <v>0</v>
      </c>
      <c r="M18" s="218">
        <f t="shared" si="1"/>
        <v>258132586</v>
      </c>
      <c r="N18" s="218">
        <v>772839</v>
      </c>
      <c r="O18" s="218">
        <f t="shared" si="2"/>
        <v>642579040</v>
      </c>
      <c r="P18" s="339"/>
      <c r="Q18" s="339"/>
    </row>
    <row r="19" spans="1:17" s="81" customFormat="1" ht="18" customHeight="1">
      <c r="A19" s="126" t="s">
        <v>104</v>
      </c>
      <c r="B19" s="126" t="s">
        <v>165</v>
      </c>
      <c r="C19" s="218">
        <v>122769316</v>
      </c>
      <c r="D19" s="218">
        <v>0</v>
      </c>
      <c r="E19" s="218">
        <v>0</v>
      </c>
      <c r="F19" s="218">
        <v>0</v>
      </c>
      <c r="G19" s="218">
        <v>187576198</v>
      </c>
      <c r="H19" s="218">
        <v>0</v>
      </c>
      <c r="I19" s="218">
        <v>0</v>
      </c>
      <c r="J19" s="218">
        <v>0</v>
      </c>
      <c r="K19" s="218">
        <v>0</v>
      </c>
      <c r="L19" s="218">
        <v>0</v>
      </c>
      <c r="M19" s="218">
        <f t="shared" si="1"/>
        <v>187576198</v>
      </c>
      <c r="N19" s="218">
        <v>0</v>
      </c>
      <c r="O19" s="218">
        <f t="shared" si="2"/>
        <v>310345514</v>
      </c>
      <c r="P19" s="339"/>
      <c r="Q19" s="339"/>
    </row>
    <row r="20" spans="1:17" s="81" customFormat="1" ht="18" customHeight="1">
      <c r="A20" s="126" t="s">
        <v>105</v>
      </c>
      <c r="B20" s="126" t="s">
        <v>166</v>
      </c>
      <c r="C20" s="218">
        <v>16632196</v>
      </c>
      <c r="D20" s="218">
        <v>0</v>
      </c>
      <c r="E20" s="218">
        <v>8718944</v>
      </c>
      <c r="F20" s="218">
        <v>0</v>
      </c>
      <c r="G20" s="218">
        <v>0</v>
      </c>
      <c r="H20" s="218">
        <v>0</v>
      </c>
      <c r="I20" s="218">
        <v>0</v>
      </c>
      <c r="J20" s="218">
        <v>0</v>
      </c>
      <c r="K20" s="218">
        <v>0</v>
      </c>
      <c r="L20" s="218">
        <v>0</v>
      </c>
      <c r="M20" s="218">
        <f t="shared" si="1"/>
        <v>8718944</v>
      </c>
      <c r="N20" s="218">
        <v>0</v>
      </c>
      <c r="O20" s="218">
        <f t="shared" si="2"/>
        <v>25351140</v>
      </c>
      <c r="P20" s="339"/>
      <c r="Q20" s="339"/>
    </row>
    <row r="21" spans="1:17" s="81" customFormat="1" ht="18" customHeight="1">
      <c r="A21" s="616" t="s">
        <v>222</v>
      </c>
      <c r="B21" s="617"/>
      <c r="C21" s="219">
        <f t="shared" ref="C21:O21" si="3">SUM(C10:C20)</f>
        <v>1204439027</v>
      </c>
      <c r="D21" s="219">
        <f t="shared" si="3"/>
        <v>0</v>
      </c>
      <c r="E21" s="219">
        <f t="shared" si="3"/>
        <v>303912340</v>
      </c>
      <c r="F21" s="219">
        <f t="shared" si="3"/>
        <v>45395946</v>
      </c>
      <c r="G21" s="219">
        <f t="shared" si="3"/>
        <v>360156910</v>
      </c>
      <c r="H21" s="219">
        <f t="shared" si="3"/>
        <v>1665740</v>
      </c>
      <c r="I21" s="219">
        <f t="shared" si="3"/>
        <v>10696464</v>
      </c>
      <c r="J21" s="219">
        <f t="shared" si="3"/>
        <v>0</v>
      </c>
      <c r="K21" s="219">
        <f t="shared" si="3"/>
        <v>84440918</v>
      </c>
      <c r="L21" s="219">
        <f t="shared" si="3"/>
        <v>15752699</v>
      </c>
      <c r="M21" s="219">
        <f t="shared" si="3"/>
        <v>822021017</v>
      </c>
      <c r="N21" s="219">
        <f t="shared" si="3"/>
        <v>7547031</v>
      </c>
      <c r="O21" s="219">
        <f t="shared" si="3"/>
        <v>2034007075</v>
      </c>
      <c r="P21" s="339"/>
      <c r="Q21" s="339"/>
    </row>
    <row r="22" spans="1:17" s="81" customFormat="1" ht="18" customHeight="1">
      <c r="A22" s="122" t="s">
        <v>28</v>
      </c>
      <c r="B22" s="113" t="s">
        <v>14</v>
      </c>
      <c r="C22" s="218">
        <v>20909790</v>
      </c>
      <c r="D22" s="218">
        <v>0</v>
      </c>
      <c r="E22" s="218">
        <v>0</v>
      </c>
      <c r="F22" s="218">
        <v>0</v>
      </c>
      <c r="G22" s="218">
        <v>0</v>
      </c>
      <c r="H22" s="218">
        <v>0</v>
      </c>
      <c r="I22" s="218">
        <v>0</v>
      </c>
      <c r="J22" s="218">
        <v>0</v>
      </c>
      <c r="K22" s="218">
        <v>4908831</v>
      </c>
      <c r="L22" s="218">
        <v>300000</v>
      </c>
      <c r="M22" s="218">
        <f t="shared" ref="M22:M27" si="4">SUM(E22:L22)</f>
        <v>5208831</v>
      </c>
      <c r="N22" s="218">
        <v>0</v>
      </c>
      <c r="O22" s="218">
        <f t="shared" ref="O22:O27" si="5">SUM(C22,D22,M22,N22)</f>
        <v>26118621</v>
      </c>
      <c r="P22" s="339"/>
      <c r="Q22" s="339"/>
    </row>
    <row r="23" spans="1:17" s="81" customFormat="1" ht="18" customHeight="1">
      <c r="A23" s="122" t="s">
        <v>106</v>
      </c>
      <c r="B23" s="113" t="s">
        <v>15</v>
      </c>
      <c r="C23" s="218">
        <v>6160951</v>
      </c>
      <c r="D23" s="218">
        <v>0</v>
      </c>
      <c r="E23" s="218">
        <v>0</v>
      </c>
      <c r="F23" s="218">
        <v>0</v>
      </c>
      <c r="G23" s="218">
        <v>0</v>
      </c>
      <c r="H23" s="218">
        <v>0</v>
      </c>
      <c r="I23" s="218">
        <v>0</v>
      </c>
      <c r="J23" s="218">
        <v>0</v>
      </c>
      <c r="K23" s="218">
        <v>2761607</v>
      </c>
      <c r="L23" s="218">
        <v>1000000</v>
      </c>
      <c r="M23" s="218">
        <f t="shared" si="4"/>
        <v>3761607</v>
      </c>
      <c r="N23" s="218">
        <v>0</v>
      </c>
      <c r="O23" s="218">
        <f t="shared" si="5"/>
        <v>9922558</v>
      </c>
      <c r="P23" s="339"/>
      <c r="Q23" s="339"/>
    </row>
    <row r="24" spans="1:17" s="81" customFormat="1" ht="18" customHeight="1">
      <c r="A24" s="122" t="s">
        <v>107</v>
      </c>
      <c r="B24" s="113" t="s">
        <v>16</v>
      </c>
      <c r="C24" s="218">
        <v>23335</v>
      </c>
      <c r="D24" s="218">
        <v>0</v>
      </c>
      <c r="E24" s="218">
        <v>0</v>
      </c>
      <c r="F24" s="218">
        <v>0</v>
      </c>
      <c r="G24" s="218">
        <v>0</v>
      </c>
      <c r="H24" s="218">
        <v>0</v>
      </c>
      <c r="I24" s="218">
        <v>0</v>
      </c>
      <c r="J24" s="218">
        <v>0</v>
      </c>
      <c r="K24" s="218">
        <v>4540206</v>
      </c>
      <c r="L24" s="218">
        <v>350000</v>
      </c>
      <c r="M24" s="218">
        <f t="shared" si="4"/>
        <v>4890206</v>
      </c>
      <c r="N24" s="218">
        <v>0</v>
      </c>
      <c r="O24" s="218">
        <f t="shared" si="5"/>
        <v>4913541</v>
      </c>
      <c r="P24" s="339"/>
      <c r="Q24" s="339"/>
    </row>
    <row r="25" spans="1:17" s="81" customFormat="1" ht="18" customHeight="1">
      <c r="A25" s="122" t="s">
        <v>93</v>
      </c>
      <c r="B25" s="113" t="s">
        <v>135</v>
      </c>
      <c r="C25" s="218">
        <v>25879830</v>
      </c>
      <c r="D25" s="218">
        <v>4285000</v>
      </c>
      <c r="E25" s="218">
        <v>0</v>
      </c>
      <c r="F25" s="218">
        <v>0</v>
      </c>
      <c r="G25" s="218">
        <v>0</v>
      </c>
      <c r="H25" s="218">
        <v>0</v>
      </c>
      <c r="I25" s="218">
        <v>0</v>
      </c>
      <c r="J25" s="218">
        <v>0</v>
      </c>
      <c r="K25" s="218">
        <v>0</v>
      </c>
      <c r="L25" s="218">
        <v>1787000</v>
      </c>
      <c r="M25" s="218">
        <f t="shared" si="4"/>
        <v>1787000</v>
      </c>
      <c r="N25" s="218">
        <v>100000</v>
      </c>
      <c r="O25" s="218">
        <f t="shared" si="5"/>
        <v>32051830</v>
      </c>
      <c r="P25" s="339"/>
      <c r="Q25" s="339"/>
    </row>
    <row r="26" spans="1:17" s="81" customFormat="1" ht="17.399999999999999" customHeight="1">
      <c r="A26" s="122" t="s">
        <v>94</v>
      </c>
      <c r="B26" s="113" t="s">
        <v>290</v>
      </c>
      <c r="C26" s="218">
        <v>4465218</v>
      </c>
      <c r="D26" s="218">
        <v>0</v>
      </c>
      <c r="E26" s="218">
        <v>12265549</v>
      </c>
      <c r="F26" s="218">
        <v>0</v>
      </c>
      <c r="G26" s="218">
        <v>0</v>
      </c>
      <c r="H26" s="218">
        <v>0</v>
      </c>
      <c r="I26" s="218">
        <v>0</v>
      </c>
      <c r="J26" s="218">
        <v>19138574</v>
      </c>
      <c r="K26" s="218">
        <v>2600000</v>
      </c>
      <c r="L26" s="218">
        <v>3919173</v>
      </c>
      <c r="M26" s="218">
        <f t="shared" si="4"/>
        <v>37923296</v>
      </c>
      <c r="N26" s="218">
        <v>0</v>
      </c>
      <c r="O26" s="218">
        <f t="shared" si="5"/>
        <v>42388514</v>
      </c>
      <c r="P26" s="339"/>
      <c r="Q26" s="339"/>
    </row>
    <row r="27" spans="1:17" s="81" customFormat="1" ht="18" customHeight="1">
      <c r="A27" s="122" t="s">
        <v>108</v>
      </c>
      <c r="B27" s="113" t="s">
        <v>136</v>
      </c>
      <c r="C27" s="218">
        <v>5693995</v>
      </c>
      <c r="D27" s="218">
        <v>0</v>
      </c>
      <c r="E27" s="218">
        <v>0</v>
      </c>
      <c r="F27" s="218">
        <v>0</v>
      </c>
      <c r="G27" s="218">
        <v>0</v>
      </c>
      <c r="H27" s="218">
        <v>0</v>
      </c>
      <c r="I27" s="218">
        <v>0</v>
      </c>
      <c r="J27" s="218">
        <v>930450</v>
      </c>
      <c r="K27" s="218">
        <v>1063885</v>
      </c>
      <c r="L27" s="218">
        <v>1147261</v>
      </c>
      <c r="M27" s="218">
        <f t="shared" si="4"/>
        <v>3141596</v>
      </c>
      <c r="N27" s="218">
        <v>0</v>
      </c>
      <c r="O27" s="218">
        <f t="shared" si="5"/>
        <v>8835591</v>
      </c>
      <c r="P27" s="339"/>
      <c r="Q27" s="339"/>
    </row>
    <row r="28" spans="1:17" s="81" customFormat="1" ht="18" customHeight="1">
      <c r="A28" s="616" t="s">
        <v>223</v>
      </c>
      <c r="B28" s="617"/>
      <c r="C28" s="219">
        <f>SUM(C22:C27)</f>
        <v>63133119</v>
      </c>
      <c r="D28" s="219">
        <f t="shared" ref="D28:J28" si="6">SUM(D22:D27)</f>
        <v>4285000</v>
      </c>
      <c r="E28" s="219">
        <f t="shared" si="6"/>
        <v>12265549</v>
      </c>
      <c r="F28" s="219">
        <f t="shared" si="6"/>
        <v>0</v>
      </c>
      <c r="G28" s="219">
        <f t="shared" si="6"/>
        <v>0</v>
      </c>
      <c r="H28" s="219">
        <f t="shared" si="6"/>
        <v>0</v>
      </c>
      <c r="I28" s="219">
        <f t="shared" si="6"/>
        <v>0</v>
      </c>
      <c r="J28" s="219">
        <f t="shared" si="6"/>
        <v>20069024</v>
      </c>
      <c r="K28" s="219">
        <f>SUM(K22:K27)</f>
        <v>15874529</v>
      </c>
      <c r="L28" s="219">
        <f>SUM(L22:L27)</f>
        <v>8503434</v>
      </c>
      <c r="M28" s="219">
        <f>SUM(M22:M27)</f>
        <v>56712536</v>
      </c>
      <c r="N28" s="219">
        <f>SUM(N22:N27)</f>
        <v>100000</v>
      </c>
      <c r="O28" s="219">
        <f>SUM(O22:O27)</f>
        <v>124230655</v>
      </c>
      <c r="P28" s="339"/>
      <c r="Q28" s="339"/>
    </row>
    <row r="29" spans="1:17" s="81" customFormat="1" ht="18" customHeight="1">
      <c r="A29" s="122" t="s">
        <v>95</v>
      </c>
      <c r="B29" s="112" t="s">
        <v>167</v>
      </c>
      <c r="C29" s="218">
        <v>41288257</v>
      </c>
      <c r="D29" s="218">
        <v>0</v>
      </c>
      <c r="E29" s="218">
        <v>0</v>
      </c>
      <c r="F29" s="218">
        <v>0</v>
      </c>
      <c r="G29" s="218">
        <v>0</v>
      </c>
      <c r="H29" s="218">
        <v>13337686</v>
      </c>
      <c r="I29" s="218">
        <v>1699128</v>
      </c>
      <c r="J29" s="218">
        <v>0</v>
      </c>
      <c r="K29" s="218">
        <v>0</v>
      </c>
      <c r="L29" s="218">
        <v>4686171</v>
      </c>
      <c r="M29" s="218">
        <f t="shared" ref="M29:M31" si="7">SUM(E29:L29)</f>
        <v>19722985</v>
      </c>
      <c r="N29" s="218">
        <v>83083</v>
      </c>
      <c r="O29" s="218">
        <f>SUM(C29,D29,M29,N29)</f>
        <v>61094325</v>
      </c>
      <c r="P29" s="339"/>
      <c r="Q29" s="339"/>
    </row>
    <row r="30" spans="1:17" s="81" customFormat="1" ht="18" customHeight="1">
      <c r="A30" s="122" t="s">
        <v>96</v>
      </c>
      <c r="B30" s="112" t="s">
        <v>109</v>
      </c>
      <c r="C30" s="218">
        <v>2139087</v>
      </c>
      <c r="D30" s="218">
        <v>0</v>
      </c>
      <c r="E30" s="218">
        <v>0</v>
      </c>
      <c r="F30" s="218">
        <v>0</v>
      </c>
      <c r="G30" s="218">
        <v>0</v>
      </c>
      <c r="H30" s="218">
        <v>1967708</v>
      </c>
      <c r="I30" s="218">
        <v>128461</v>
      </c>
      <c r="J30" s="218">
        <v>0</v>
      </c>
      <c r="K30" s="218">
        <v>0</v>
      </c>
      <c r="L30" s="218">
        <v>5179031</v>
      </c>
      <c r="M30" s="218">
        <f t="shared" si="7"/>
        <v>7275200</v>
      </c>
      <c r="N30" s="218">
        <v>0</v>
      </c>
      <c r="O30" s="218">
        <f>SUM(C30,D30,M30,N30)</f>
        <v>9414287</v>
      </c>
      <c r="P30" s="339"/>
      <c r="Q30" s="339"/>
    </row>
    <row r="31" spans="1:17" s="81" customFormat="1" ht="18" customHeight="1">
      <c r="A31" s="122" t="s">
        <v>97</v>
      </c>
      <c r="B31" s="112" t="s">
        <v>168</v>
      </c>
      <c r="C31" s="218">
        <v>2474761</v>
      </c>
      <c r="D31" s="218">
        <v>0</v>
      </c>
      <c r="E31" s="218">
        <v>0</v>
      </c>
      <c r="F31" s="218">
        <v>0</v>
      </c>
      <c r="G31" s="218">
        <v>0</v>
      </c>
      <c r="H31" s="218">
        <v>6925057</v>
      </c>
      <c r="I31" s="218">
        <v>0</v>
      </c>
      <c r="J31" s="218">
        <v>0</v>
      </c>
      <c r="K31" s="218">
        <v>0</v>
      </c>
      <c r="L31" s="218">
        <v>0</v>
      </c>
      <c r="M31" s="218">
        <f t="shared" si="7"/>
        <v>6925057</v>
      </c>
      <c r="N31" s="218">
        <v>0</v>
      </c>
      <c r="O31" s="218">
        <f>SUM(C31,D31,M31,N31)</f>
        <v>9399818</v>
      </c>
      <c r="P31" s="339"/>
      <c r="Q31" s="339"/>
    </row>
    <row r="32" spans="1:17" s="82" customFormat="1" ht="18" customHeight="1">
      <c r="A32" s="616" t="s">
        <v>372</v>
      </c>
      <c r="B32" s="617"/>
      <c r="C32" s="219">
        <f>SUM(C29:C31)</f>
        <v>45902105</v>
      </c>
      <c r="D32" s="219">
        <f t="shared" ref="D32:J32" si="8">SUM(D29:D31)</f>
        <v>0</v>
      </c>
      <c r="E32" s="219">
        <f t="shared" si="8"/>
        <v>0</v>
      </c>
      <c r="F32" s="219">
        <f t="shared" si="8"/>
        <v>0</v>
      </c>
      <c r="G32" s="219">
        <f t="shared" si="8"/>
        <v>0</v>
      </c>
      <c r="H32" s="219">
        <f t="shared" si="8"/>
        <v>22230451</v>
      </c>
      <c r="I32" s="219">
        <f t="shared" si="8"/>
        <v>1827589</v>
      </c>
      <c r="J32" s="219">
        <f t="shared" si="8"/>
        <v>0</v>
      </c>
      <c r="K32" s="219">
        <f>SUM(K29:K31)</f>
        <v>0</v>
      </c>
      <c r="L32" s="219">
        <f>SUM(L29:L31)</f>
        <v>9865202</v>
      </c>
      <c r="M32" s="219">
        <f>SUM(M29:M31)</f>
        <v>33923242</v>
      </c>
      <c r="N32" s="219">
        <f>SUM(N29:N31)</f>
        <v>83083</v>
      </c>
      <c r="O32" s="219">
        <f>SUM(O29:O31)</f>
        <v>79908430</v>
      </c>
      <c r="P32" s="339"/>
      <c r="Q32" s="339"/>
    </row>
    <row r="33" spans="1:17" s="81" customFormat="1" ht="18" customHeight="1">
      <c r="A33" s="122" t="s">
        <v>98</v>
      </c>
      <c r="B33" s="125" t="s">
        <v>18</v>
      </c>
      <c r="C33" s="218">
        <v>18062278</v>
      </c>
      <c r="D33" s="218">
        <v>0</v>
      </c>
      <c r="E33" s="218">
        <v>7482899</v>
      </c>
      <c r="F33" s="218">
        <v>0</v>
      </c>
      <c r="G33" s="218">
        <v>1862859</v>
      </c>
      <c r="H33" s="218">
        <v>691927</v>
      </c>
      <c r="I33" s="218">
        <v>378298</v>
      </c>
      <c r="J33" s="218">
        <v>0</v>
      </c>
      <c r="K33" s="218">
        <v>526399</v>
      </c>
      <c r="L33" s="218">
        <v>0</v>
      </c>
      <c r="M33" s="218">
        <f t="shared" ref="M33:M36" si="9">SUM(E33:L33)</f>
        <v>10942382</v>
      </c>
      <c r="N33" s="218">
        <v>0</v>
      </c>
      <c r="O33" s="218">
        <f>SUM(C33,D33,M33,N33)</f>
        <v>29004660</v>
      </c>
      <c r="P33" s="339"/>
      <c r="Q33" s="339"/>
    </row>
    <row r="34" spans="1:17" s="81" customFormat="1" ht="18" customHeight="1">
      <c r="A34" s="122" t="s">
        <v>252</v>
      </c>
      <c r="B34" s="125" t="s">
        <v>19</v>
      </c>
      <c r="C34" s="218">
        <v>9622892</v>
      </c>
      <c r="D34" s="218">
        <v>0</v>
      </c>
      <c r="E34" s="218">
        <v>3595750</v>
      </c>
      <c r="F34" s="218">
        <v>0</v>
      </c>
      <c r="G34" s="218">
        <v>859119</v>
      </c>
      <c r="H34" s="218">
        <v>638101</v>
      </c>
      <c r="I34" s="218">
        <v>174126</v>
      </c>
      <c r="J34" s="218">
        <v>0</v>
      </c>
      <c r="K34" s="218">
        <v>65885</v>
      </c>
      <c r="L34" s="218">
        <v>0</v>
      </c>
      <c r="M34" s="218">
        <f t="shared" si="9"/>
        <v>5332981</v>
      </c>
      <c r="N34" s="218">
        <v>0</v>
      </c>
      <c r="O34" s="218">
        <f>SUM(C34,D34,M34,N34)</f>
        <v>14955873</v>
      </c>
      <c r="P34" s="339"/>
      <c r="Q34" s="339"/>
    </row>
    <row r="35" spans="1:17" s="81" customFormat="1" ht="18" customHeight="1">
      <c r="A35" s="122" t="s">
        <v>253</v>
      </c>
      <c r="B35" s="125" t="s">
        <v>20</v>
      </c>
      <c r="C35" s="218">
        <v>617243</v>
      </c>
      <c r="D35" s="218">
        <v>0</v>
      </c>
      <c r="E35" s="218">
        <v>406785</v>
      </c>
      <c r="F35" s="218">
        <v>0</v>
      </c>
      <c r="G35" s="218">
        <v>82287</v>
      </c>
      <c r="H35" s="218">
        <v>90552</v>
      </c>
      <c r="I35" s="218">
        <v>16799</v>
      </c>
      <c r="J35" s="218">
        <v>0</v>
      </c>
      <c r="K35" s="218">
        <v>198</v>
      </c>
      <c r="L35" s="218">
        <v>0</v>
      </c>
      <c r="M35" s="218">
        <f t="shared" si="9"/>
        <v>596621</v>
      </c>
      <c r="N35" s="218">
        <v>0</v>
      </c>
      <c r="O35" s="218">
        <f>SUM(C35,D35,M35,N35)</f>
        <v>1213864</v>
      </c>
      <c r="P35" s="339"/>
      <c r="Q35" s="339"/>
    </row>
    <row r="36" spans="1:17" s="81" customFormat="1" ht="18" customHeight="1">
      <c r="A36" s="122" t="s">
        <v>254</v>
      </c>
      <c r="B36" s="125" t="s">
        <v>21</v>
      </c>
      <c r="C36" s="218">
        <v>27530700</v>
      </c>
      <c r="D36" s="218">
        <v>0</v>
      </c>
      <c r="E36" s="218">
        <v>12390092</v>
      </c>
      <c r="F36" s="218">
        <v>0</v>
      </c>
      <c r="G36" s="218">
        <v>2969747</v>
      </c>
      <c r="H36" s="218">
        <v>1412937</v>
      </c>
      <c r="I36" s="218">
        <v>603469</v>
      </c>
      <c r="J36" s="218">
        <v>0</v>
      </c>
      <c r="K36" s="218">
        <v>1753059</v>
      </c>
      <c r="L36" s="218">
        <v>868808</v>
      </c>
      <c r="M36" s="218">
        <f t="shared" si="9"/>
        <v>19998112</v>
      </c>
      <c r="N36" s="218">
        <v>0</v>
      </c>
      <c r="O36" s="218">
        <f>SUM(C36,D36,M36,N36)</f>
        <v>47528812</v>
      </c>
      <c r="P36" s="339"/>
      <c r="Q36" s="339"/>
    </row>
    <row r="37" spans="1:17" s="82" customFormat="1" ht="18" customHeight="1">
      <c r="A37" s="616" t="s">
        <v>352</v>
      </c>
      <c r="B37" s="617"/>
      <c r="C37" s="219">
        <f>SUM(C33:C36)</f>
        <v>55833113</v>
      </c>
      <c r="D37" s="219">
        <f t="shared" ref="D37:J37" si="10">SUM(D33:D36)</f>
        <v>0</v>
      </c>
      <c r="E37" s="219">
        <f t="shared" si="10"/>
        <v>23875526</v>
      </c>
      <c r="F37" s="219">
        <f t="shared" si="10"/>
        <v>0</v>
      </c>
      <c r="G37" s="219">
        <f t="shared" si="10"/>
        <v>5774012</v>
      </c>
      <c r="H37" s="219">
        <f t="shared" si="10"/>
        <v>2833517</v>
      </c>
      <c r="I37" s="219">
        <f t="shared" si="10"/>
        <v>1172692</v>
      </c>
      <c r="J37" s="219">
        <f t="shared" si="10"/>
        <v>0</v>
      </c>
      <c r="K37" s="219">
        <f>SUM(K33:K36)</f>
        <v>2345541</v>
      </c>
      <c r="L37" s="219">
        <f>SUM(L33:L36)</f>
        <v>868808</v>
      </c>
      <c r="M37" s="219">
        <f>SUM(M33:M36)</f>
        <v>36870096</v>
      </c>
      <c r="N37" s="219">
        <f>SUM(N33:N36)</f>
        <v>0</v>
      </c>
      <c r="O37" s="219">
        <f>SUM(O33:O36)</f>
        <v>92703209</v>
      </c>
      <c r="P37" s="339"/>
      <c r="Q37" s="339"/>
    </row>
    <row r="38" spans="1:17" s="81" customFormat="1" ht="18" customHeight="1">
      <c r="A38" s="122" t="s">
        <v>99</v>
      </c>
      <c r="B38" s="123" t="s">
        <v>110</v>
      </c>
      <c r="C38" s="218">
        <v>22353312</v>
      </c>
      <c r="D38" s="218">
        <v>0</v>
      </c>
      <c r="E38" s="218">
        <v>5204076</v>
      </c>
      <c r="F38" s="218">
        <v>0</v>
      </c>
      <c r="G38" s="218">
        <v>2387587</v>
      </c>
      <c r="H38" s="218">
        <v>0</v>
      </c>
      <c r="I38" s="218">
        <v>382379</v>
      </c>
      <c r="J38" s="218">
        <v>0</v>
      </c>
      <c r="K38" s="218">
        <v>2270399</v>
      </c>
      <c r="L38" s="218">
        <v>0</v>
      </c>
      <c r="M38" s="218">
        <f>SUM(E38:L38)</f>
        <v>10244441</v>
      </c>
      <c r="N38" s="218">
        <v>0</v>
      </c>
      <c r="O38" s="218">
        <f>SUM(C38,D38,M38,N38)</f>
        <v>32597753</v>
      </c>
      <c r="P38" s="339"/>
      <c r="Q38" s="339"/>
    </row>
    <row r="39" spans="1:17" s="82" customFormat="1" ht="18" customHeight="1">
      <c r="A39" s="616" t="s">
        <v>351</v>
      </c>
      <c r="B39" s="617"/>
      <c r="C39" s="219">
        <f>SUM(C38:C38)</f>
        <v>22353312</v>
      </c>
      <c r="D39" s="219">
        <f t="shared" ref="D39:J39" si="11">SUM(D38:D38)</f>
        <v>0</v>
      </c>
      <c r="E39" s="219">
        <f t="shared" si="11"/>
        <v>5204076</v>
      </c>
      <c r="F39" s="219">
        <f t="shared" si="11"/>
        <v>0</v>
      </c>
      <c r="G39" s="219">
        <f t="shared" si="11"/>
        <v>2387587</v>
      </c>
      <c r="H39" s="219">
        <f t="shared" si="11"/>
        <v>0</v>
      </c>
      <c r="I39" s="219">
        <f t="shared" si="11"/>
        <v>382379</v>
      </c>
      <c r="J39" s="219">
        <f t="shared" si="11"/>
        <v>0</v>
      </c>
      <c r="K39" s="219">
        <f>SUM(K38:K38)</f>
        <v>2270399</v>
      </c>
      <c r="L39" s="219">
        <f>SUM(L38:L38)</f>
        <v>0</v>
      </c>
      <c r="M39" s="219">
        <f>SUM(M38:M38)</f>
        <v>10244441</v>
      </c>
      <c r="N39" s="219">
        <f>SUM(N38:N38)</f>
        <v>0</v>
      </c>
      <c r="O39" s="219">
        <f>SUM(O38:O38)</f>
        <v>32597753</v>
      </c>
      <c r="P39" s="339"/>
    </row>
    <row r="40" spans="1:17" s="82" customFormat="1" ht="15.6">
      <c r="A40" s="122" t="s">
        <v>525</v>
      </c>
      <c r="B40" s="123" t="s">
        <v>526</v>
      </c>
      <c r="C40" s="218">
        <v>6972110</v>
      </c>
      <c r="D40" s="218">
        <v>0</v>
      </c>
      <c r="E40" s="218">
        <v>0</v>
      </c>
      <c r="F40" s="218">
        <v>0</v>
      </c>
      <c r="G40" s="218">
        <v>640053</v>
      </c>
      <c r="H40" s="218">
        <v>0</v>
      </c>
      <c r="I40" s="218">
        <v>77407</v>
      </c>
      <c r="J40" s="218">
        <v>0</v>
      </c>
      <c r="K40" s="218">
        <v>0</v>
      </c>
      <c r="L40" s="218">
        <v>0</v>
      </c>
      <c r="M40" s="218">
        <f>SUM(E40:L40)</f>
        <v>717460</v>
      </c>
      <c r="N40" s="218">
        <v>0</v>
      </c>
      <c r="O40" s="218">
        <f>SUM(C40,D40,M40,N40)</f>
        <v>7689570</v>
      </c>
      <c r="Q40" s="339"/>
    </row>
    <row r="41" spans="1:17" s="82" customFormat="1" ht="16.2">
      <c r="A41" s="616" t="s">
        <v>554</v>
      </c>
      <c r="B41" s="617"/>
      <c r="C41" s="219">
        <f>SUM(C40:C40)</f>
        <v>6972110</v>
      </c>
      <c r="D41" s="219">
        <f t="shared" ref="D41:J41" si="12">SUM(D40:D40)</f>
        <v>0</v>
      </c>
      <c r="E41" s="219">
        <f t="shared" si="12"/>
        <v>0</v>
      </c>
      <c r="F41" s="219">
        <f t="shared" si="12"/>
        <v>0</v>
      </c>
      <c r="G41" s="219">
        <f t="shared" si="12"/>
        <v>640053</v>
      </c>
      <c r="H41" s="219">
        <f t="shared" si="12"/>
        <v>0</v>
      </c>
      <c r="I41" s="219">
        <f t="shared" si="12"/>
        <v>77407</v>
      </c>
      <c r="J41" s="219">
        <f t="shared" si="12"/>
        <v>0</v>
      </c>
      <c r="K41" s="219">
        <f>SUM(K40:K40)</f>
        <v>0</v>
      </c>
      <c r="L41" s="219">
        <f>SUM(L40:L40)</f>
        <v>0</v>
      </c>
      <c r="M41" s="219">
        <f>SUM(M40:M40)</f>
        <v>717460</v>
      </c>
      <c r="N41" s="219">
        <f>SUM(N40:N40)</f>
        <v>0</v>
      </c>
      <c r="O41" s="219">
        <f>SUM(O40:O40)</f>
        <v>7689570</v>
      </c>
    </row>
    <row r="42" spans="1:17" s="82" customFormat="1" ht="16.2">
      <c r="A42" s="134"/>
      <c r="B42" s="134"/>
      <c r="C42" s="220"/>
      <c r="D42" s="220"/>
      <c r="E42" s="220"/>
      <c r="F42" s="220"/>
      <c r="G42" s="220"/>
      <c r="H42" s="220"/>
      <c r="I42" s="220"/>
      <c r="J42" s="220"/>
      <c r="K42" s="220"/>
      <c r="L42" s="220"/>
      <c r="M42" s="220"/>
      <c r="N42" s="220"/>
      <c r="O42" s="221"/>
    </row>
    <row r="43" spans="1:17" s="82" customFormat="1" ht="15" customHeight="1" thickBot="1">
      <c r="A43" s="131" t="s">
        <v>229</v>
      </c>
      <c r="B43" s="222"/>
      <c r="C43" s="223">
        <f>SUM(C39,C37,C32,C28,C21,C9,C41)</f>
        <v>1415594425</v>
      </c>
      <c r="D43" s="223">
        <f t="shared" ref="D43:O43" si="13">SUM(D39,D37,D32,D28,D21,D9,D41)</f>
        <v>4285000</v>
      </c>
      <c r="E43" s="223">
        <f t="shared" si="13"/>
        <v>355593997</v>
      </c>
      <c r="F43" s="223">
        <f t="shared" si="13"/>
        <v>45395946</v>
      </c>
      <c r="G43" s="223">
        <f t="shared" si="13"/>
        <v>369099727</v>
      </c>
      <c r="H43" s="223">
        <f t="shared" si="13"/>
        <v>28983072</v>
      </c>
      <c r="I43" s="223">
        <f t="shared" si="13"/>
        <v>14434658</v>
      </c>
      <c r="J43" s="223">
        <f t="shared" si="13"/>
        <v>20069024</v>
      </c>
      <c r="K43" s="223">
        <f t="shared" si="13"/>
        <v>104931387</v>
      </c>
      <c r="L43" s="223">
        <f t="shared" si="13"/>
        <v>34990143</v>
      </c>
      <c r="M43" s="223">
        <f t="shared" si="13"/>
        <v>973497954</v>
      </c>
      <c r="N43" s="223">
        <f t="shared" si="13"/>
        <v>7730114</v>
      </c>
      <c r="O43" s="223">
        <f t="shared" si="13"/>
        <v>2401107493</v>
      </c>
    </row>
    <row r="44" spans="1:17" s="15" customFormat="1" ht="15" thickTop="1">
      <c r="A44" s="80" t="s">
        <v>126</v>
      </c>
      <c r="B44" s="60"/>
      <c r="C44" s="16"/>
      <c r="D44" s="16"/>
      <c r="E44" s="16"/>
      <c r="F44" s="16"/>
      <c r="G44" s="16"/>
      <c r="H44" s="16"/>
      <c r="I44" s="16"/>
      <c r="J44" s="16"/>
      <c r="K44" s="16"/>
      <c r="L44" s="16"/>
      <c r="M44" s="16"/>
      <c r="N44" s="16"/>
      <c r="O44" s="16"/>
    </row>
    <row r="45" spans="1:17" s="15" customFormat="1" ht="14.4">
      <c r="A45" s="60"/>
      <c r="B45" s="60"/>
      <c r="C45" s="83"/>
      <c r="D45" s="16"/>
      <c r="E45" s="16"/>
      <c r="F45" s="16"/>
      <c r="G45" s="16"/>
      <c r="H45" s="16"/>
      <c r="I45" s="16"/>
      <c r="J45" s="16"/>
      <c r="K45" s="16"/>
      <c r="L45" s="16"/>
      <c r="M45" s="16"/>
      <c r="N45" s="16"/>
      <c r="O45" s="16"/>
      <c r="P45" s="387"/>
    </row>
  </sheetData>
  <mergeCells count="9">
    <mergeCell ref="A41:B41"/>
    <mergeCell ref="A5:B5"/>
    <mergeCell ref="E5:M5"/>
    <mergeCell ref="A39:B39"/>
    <mergeCell ref="A9:B9"/>
    <mergeCell ref="A21:B21"/>
    <mergeCell ref="A28:B28"/>
    <mergeCell ref="A32:B32"/>
    <mergeCell ref="A37:B37"/>
  </mergeCells>
  <phoneticPr fontId="111"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8"/>
  <sheetViews>
    <sheetView zoomScale="70" zoomScaleNormal="70" workbookViewId="0">
      <selection activeCell="H15" sqref="H15"/>
    </sheetView>
  </sheetViews>
  <sheetFormatPr defaultColWidth="9.109375" defaultRowHeight="15.6"/>
  <cols>
    <col min="1" max="1" width="7.6640625" style="152" customWidth="1"/>
    <col min="2" max="2" width="52.6640625" style="152" bestFit="1" customWidth="1"/>
    <col min="3" max="3" width="17.109375" style="155" bestFit="1" customWidth="1"/>
    <col min="4" max="4" width="13.6640625" style="155" bestFit="1" customWidth="1"/>
    <col min="5" max="5" width="16.44140625" style="155" bestFit="1" customWidth="1"/>
    <col min="6" max="6" width="15.109375" style="155" bestFit="1" customWidth="1"/>
    <col min="7" max="7" width="16.6640625" style="155" bestFit="1" customWidth="1"/>
    <col min="8" max="9" width="15.109375" style="155" bestFit="1" customWidth="1"/>
    <col min="10" max="10" width="15" style="155" customWidth="1"/>
    <col min="11" max="11" width="15.109375" style="155" bestFit="1" customWidth="1"/>
    <col min="12" max="12" width="15.109375" style="155" customWidth="1"/>
    <col min="13" max="13" width="16.44140625" style="155" bestFit="1" customWidth="1"/>
    <col min="14" max="14" width="13.88671875" style="155" bestFit="1" customWidth="1"/>
    <col min="15" max="15" width="17.6640625" style="155" customWidth="1"/>
    <col min="16" max="17" width="9.109375" style="152"/>
    <col min="18" max="18" width="10.6640625" style="152" bestFit="1" customWidth="1"/>
    <col min="19" max="16384" width="9.109375" style="152"/>
  </cols>
  <sheetData>
    <row r="1" spans="1:15" s="296" customFormat="1" ht="16.2">
      <c r="A1" s="200" t="s">
        <v>3</v>
      </c>
      <c r="B1" s="200"/>
      <c r="C1" s="200"/>
      <c r="D1" s="200"/>
      <c r="E1" s="200"/>
      <c r="F1" s="200"/>
      <c r="G1" s="200"/>
      <c r="H1" s="200"/>
      <c r="I1" s="200"/>
      <c r="J1" s="200"/>
      <c r="K1" s="200"/>
      <c r="L1" s="200"/>
      <c r="M1" s="200"/>
      <c r="N1" s="200"/>
      <c r="O1" s="200"/>
    </row>
    <row r="2" spans="1:15">
      <c r="A2" s="201" t="s">
        <v>514</v>
      </c>
      <c r="B2" s="201"/>
      <c r="C2" s="201"/>
      <c r="D2" s="201"/>
      <c r="E2" s="201"/>
      <c r="F2" s="201"/>
      <c r="G2" s="201"/>
      <c r="H2" s="201"/>
      <c r="I2" s="201"/>
      <c r="J2" s="201"/>
      <c r="K2" s="201"/>
      <c r="L2" s="201"/>
      <c r="M2" s="201"/>
      <c r="N2" s="201"/>
      <c r="O2" s="201"/>
    </row>
    <row r="3" spans="1:15">
      <c r="A3" s="151" t="str">
        <f>'Schedule 1'!A3:L3</f>
        <v>Data Through December 31, 2021</v>
      </c>
      <c r="B3" s="151"/>
      <c r="C3" s="151"/>
      <c r="D3" s="151"/>
      <c r="E3" s="151"/>
      <c r="F3" s="151"/>
      <c r="G3" s="151"/>
      <c r="H3" s="151"/>
      <c r="I3" s="151"/>
      <c r="J3" s="151"/>
      <c r="K3" s="151"/>
      <c r="L3" s="151"/>
      <c r="M3" s="151"/>
      <c r="N3" s="151"/>
      <c r="O3" s="151"/>
    </row>
    <row r="4" spans="1:15">
      <c r="A4" s="224"/>
      <c r="B4" s="297"/>
      <c r="C4" s="297"/>
      <c r="D4" s="297"/>
      <c r="E4" s="297"/>
      <c r="F4" s="297"/>
      <c r="G4" s="297"/>
      <c r="H4" s="297"/>
      <c r="I4" s="298"/>
      <c r="J4" s="298"/>
      <c r="K4" s="297"/>
      <c r="L4" s="297"/>
      <c r="M4" s="297"/>
      <c r="N4" s="297"/>
      <c r="O4" s="340"/>
    </row>
    <row r="5" spans="1:15">
      <c r="A5" s="225"/>
      <c r="B5" s="202"/>
      <c r="C5" s="204"/>
      <c r="D5" s="205"/>
      <c r="E5" s="621" t="s">
        <v>6</v>
      </c>
      <c r="F5" s="621"/>
      <c r="G5" s="621"/>
      <c r="H5" s="621"/>
      <c r="I5" s="621"/>
      <c r="J5" s="621"/>
      <c r="K5" s="621"/>
      <c r="L5" s="621"/>
      <c r="M5" s="621"/>
      <c r="N5" s="204"/>
      <c r="O5" s="205"/>
    </row>
    <row r="6" spans="1:15" ht="32.4">
      <c r="A6" s="299"/>
      <c r="B6" s="300"/>
      <c r="C6" s="208" t="s">
        <v>4</v>
      </c>
      <c r="D6" s="301" t="s">
        <v>5</v>
      </c>
      <c r="E6" s="302" t="s">
        <v>188</v>
      </c>
      <c r="F6" s="303" t="s">
        <v>353</v>
      </c>
      <c r="G6" s="303" t="s">
        <v>183</v>
      </c>
      <c r="H6" s="303" t="s">
        <v>189</v>
      </c>
      <c r="I6" s="303" t="s">
        <v>190</v>
      </c>
      <c r="J6" s="303" t="s">
        <v>295</v>
      </c>
      <c r="K6" s="110" t="s">
        <v>184</v>
      </c>
      <c r="L6" s="304" t="s">
        <v>579</v>
      </c>
      <c r="M6" s="304" t="s">
        <v>137</v>
      </c>
      <c r="N6" s="410" t="s">
        <v>138</v>
      </c>
      <c r="O6" s="213" t="s">
        <v>139</v>
      </c>
    </row>
    <row r="7" spans="1:15" ht="8.25" customHeight="1">
      <c r="A7" s="315"/>
      <c r="B7" s="315"/>
      <c r="C7" s="316"/>
      <c r="D7" s="316"/>
      <c r="E7" s="317"/>
      <c r="F7" s="317"/>
      <c r="G7" s="317"/>
      <c r="H7" s="317"/>
      <c r="I7" s="317"/>
      <c r="J7" s="317"/>
      <c r="K7" s="318"/>
      <c r="L7" s="318"/>
      <c r="M7" s="318"/>
      <c r="N7" s="318"/>
      <c r="O7" s="318"/>
    </row>
    <row r="8" spans="1:15" s="146" customFormat="1" ht="18" customHeight="1">
      <c r="A8" s="123" t="s">
        <v>22</v>
      </c>
      <c r="B8" s="123" t="s">
        <v>7</v>
      </c>
      <c r="C8" s="305">
        <v>0</v>
      </c>
      <c r="D8" s="305">
        <v>0</v>
      </c>
      <c r="E8" s="305">
        <v>0</v>
      </c>
      <c r="F8" s="305">
        <v>0</v>
      </c>
      <c r="G8" s="305">
        <v>0</v>
      </c>
      <c r="H8" s="305">
        <v>0</v>
      </c>
      <c r="I8" s="305">
        <v>0</v>
      </c>
      <c r="J8" s="305">
        <v>0</v>
      </c>
      <c r="K8" s="305">
        <v>0</v>
      </c>
      <c r="L8" s="305">
        <v>0</v>
      </c>
      <c r="M8" s="305">
        <f>SUM(E8:L8)</f>
        <v>0</v>
      </c>
      <c r="N8" s="305">
        <v>0</v>
      </c>
      <c r="O8" s="305">
        <f>SUM(C8,D8,M8,N8)</f>
        <v>0</v>
      </c>
    </row>
    <row r="9" spans="1:15" s="146" customFormat="1" ht="18" customHeight="1">
      <c r="A9" s="616" t="s">
        <v>221</v>
      </c>
      <c r="B9" s="617"/>
      <c r="C9" s="306">
        <f t="shared" ref="C9:K9" si="0">C8</f>
        <v>0</v>
      </c>
      <c r="D9" s="306">
        <f t="shared" si="0"/>
        <v>0</v>
      </c>
      <c r="E9" s="306">
        <f t="shared" si="0"/>
        <v>0</v>
      </c>
      <c r="F9" s="306">
        <f t="shared" si="0"/>
        <v>0</v>
      </c>
      <c r="G9" s="306">
        <f t="shared" si="0"/>
        <v>0</v>
      </c>
      <c r="H9" s="306">
        <f t="shared" si="0"/>
        <v>0</v>
      </c>
      <c r="I9" s="306">
        <f t="shared" si="0"/>
        <v>0</v>
      </c>
      <c r="J9" s="306">
        <f t="shared" si="0"/>
        <v>0</v>
      </c>
      <c r="K9" s="306">
        <f t="shared" si="0"/>
        <v>0</v>
      </c>
      <c r="L9" s="306"/>
      <c r="M9" s="306">
        <f>M8</f>
        <v>0</v>
      </c>
      <c r="N9" s="306">
        <f>N8</f>
        <v>0</v>
      </c>
      <c r="O9" s="306">
        <f>O8</f>
        <v>0</v>
      </c>
    </row>
    <row r="10" spans="1:15" s="146" customFormat="1" ht="18" customHeight="1">
      <c r="A10" s="123" t="s">
        <v>23</v>
      </c>
      <c r="B10" s="123" t="s">
        <v>8</v>
      </c>
      <c r="C10" s="305">
        <v>0</v>
      </c>
      <c r="D10" s="305">
        <v>0</v>
      </c>
      <c r="E10" s="305">
        <v>0</v>
      </c>
      <c r="F10" s="305">
        <v>0</v>
      </c>
      <c r="G10" s="305">
        <v>0</v>
      </c>
      <c r="H10" s="305">
        <v>0</v>
      </c>
      <c r="I10" s="305">
        <v>0</v>
      </c>
      <c r="J10" s="305">
        <v>0</v>
      </c>
      <c r="K10" s="305">
        <v>0</v>
      </c>
      <c r="L10" s="305">
        <v>0</v>
      </c>
      <c r="M10" s="305">
        <f t="shared" ref="M10:M20" si="1">SUM(E10:L10)</f>
        <v>0</v>
      </c>
      <c r="N10" s="305">
        <v>0</v>
      </c>
      <c r="O10" s="305">
        <f t="shared" ref="O10:O20" si="2">SUM(C10,D10,M10,N10)</f>
        <v>0</v>
      </c>
    </row>
    <row r="11" spans="1:15" s="146" customFormat="1" ht="18" customHeight="1">
      <c r="A11" s="123" t="s">
        <v>24</v>
      </c>
      <c r="B11" s="123" t="s">
        <v>9</v>
      </c>
      <c r="C11" s="305">
        <v>0</v>
      </c>
      <c r="D11" s="305">
        <v>0</v>
      </c>
      <c r="E11" s="305">
        <v>0</v>
      </c>
      <c r="F11" s="305">
        <v>0</v>
      </c>
      <c r="G11" s="305">
        <v>0</v>
      </c>
      <c r="H11" s="305">
        <v>0</v>
      </c>
      <c r="I11" s="305">
        <v>0</v>
      </c>
      <c r="J11" s="305">
        <v>0</v>
      </c>
      <c r="K11" s="305">
        <v>0</v>
      </c>
      <c r="L11" s="305">
        <v>0</v>
      </c>
      <c r="M11" s="305">
        <f t="shared" si="1"/>
        <v>0</v>
      </c>
      <c r="N11" s="305">
        <v>0</v>
      </c>
      <c r="O11" s="305">
        <f t="shared" si="2"/>
        <v>0</v>
      </c>
    </row>
    <row r="12" spans="1:15" s="146" customFormat="1" ht="18" customHeight="1">
      <c r="A12" s="123" t="s">
        <v>25</v>
      </c>
      <c r="B12" s="123" t="s">
        <v>159</v>
      </c>
      <c r="C12" s="305">
        <v>3574123</v>
      </c>
      <c r="D12" s="305">
        <v>0</v>
      </c>
      <c r="E12" s="305">
        <v>0</v>
      </c>
      <c r="F12" s="305">
        <v>0</v>
      </c>
      <c r="G12" s="305">
        <v>281416</v>
      </c>
      <c r="H12" s="305">
        <v>0</v>
      </c>
      <c r="I12" s="305">
        <v>0</v>
      </c>
      <c r="J12" s="305">
        <v>0</v>
      </c>
      <c r="K12" s="305">
        <v>0</v>
      </c>
      <c r="L12" s="305">
        <v>0</v>
      </c>
      <c r="M12" s="305">
        <f t="shared" si="1"/>
        <v>281416</v>
      </c>
      <c r="N12" s="305">
        <v>0</v>
      </c>
      <c r="O12" s="305">
        <f t="shared" si="2"/>
        <v>3855539</v>
      </c>
    </row>
    <row r="13" spans="1:15" s="146" customFormat="1" ht="18" customHeight="1">
      <c r="A13" s="123" t="s">
        <v>26</v>
      </c>
      <c r="B13" s="123" t="s">
        <v>160</v>
      </c>
      <c r="C13" s="305">
        <v>0</v>
      </c>
      <c r="D13" s="305">
        <v>0</v>
      </c>
      <c r="E13" s="305">
        <v>0</v>
      </c>
      <c r="F13" s="305">
        <v>0</v>
      </c>
      <c r="G13" s="305">
        <v>0</v>
      </c>
      <c r="H13" s="305">
        <v>0</v>
      </c>
      <c r="I13" s="305">
        <v>0</v>
      </c>
      <c r="J13" s="305">
        <v>0</v>
      </c>
      <c r="K13" s="305">
        <v>0</v>
      </c>
      <c r="L13" s="305">
        <v>0</v>
      </c>
      <c r="M13" s="305">
        <f t="shared" si="1"/>
        <v>0</v>
      </c>
      <c r="N13" s="305">
        <v>0</v>
      </c>
      <c r="O13" s="305">
        <f t="shared" si="2"/>
        <v>0</v>
      </c>
    </row>
    <row r="14" spans="1:15" s="146" customFormat="1" ht="18" customHeight="1">
      <c r="A14" s="123" t="s">
        <v>27</v>
      </c>
      <c r="B14" s="123" t="s">
        <v>161</v>
      </c>
      <c r="C14" s="305">
        <v>0</v>
      </c>
      <c r="D14" s="305">
        <v>0</v>
      </c>
      <c r="E14" s="305">
        <v>0</v>
      </c>
      <c r="F14" s="305">
        <v>0</v>
      </c>
      <c r="G14" s="305">
        <v>0</v>
      </c>
      <c r="H14" s="305">
        <v>0</v>
      </c>
      <c r="I14" s="305">
        <v>0</v>
      </c>
      <c r="J14" s="305">
        <v>0</v>
      </c>
      <c r="K14" s="305">
        <v>0</v>
      </c>
      <c r="L14" s="305">
        <v>0</v>
      </c>
      <c r="M14" s="305">
        <f t="shared" si="1"/>
        <v>0</v>
      </c>
      <c r="N14" s="305">
        <v>0</v>
      </c>
      <c r="O14" s="305">
        <f t="shared" si="2"/>
        <v>0</v>
      </c>
    </row>
    <row r="15" spans="1:15" s="146" customFormat="1" ht="18" customHeight="1">
      <c r="A15" s="123" t="s">
        <v>100</v>
      </c>
      <c r="B15" s="123" t="s">
        <v>11</v>
      </c>
      <c r="C15" s="305">
        <v>0</v>
      </c>
      <c r="D15" s="305">
        <v>0</v>
      </c>
      <c r="E15" s="305">
        <v>0</v>
      </c>
      <c r="F15" s="305">
        <v>0</v>
      </c>
      <c r="G15" s="305">
        <v>0</v>
      </c>
      <c r="H15" s="305">
        <v>0</v>
      </c>
      <c r="I15" s="305">
        <v>0</v>
      </c>
      <c r="J15" s="305">
        <v>0</v>
      </c>
      <c r="K15" s="305">
        <v>0</v>
      </c>
      <c r="L15" s="305">
        <v>0</v>
      </c>
      <c r="M15" s="305">
        <f t="shared" si="1"/>
        <v>0</v>
      </c>
      <c r="N15" s="305">
        <v>0</v>
      </c>
      <c r="O15" s="305">
        <f t="shared" si="2"/>
        <v>0</v>
      </c>
    </row>
    <row r="16" spans="1:15" s="146" customFormat="1" ht="18" customHeight="1">
      <c r="A16" s="123" t="s">
        <v>101</v>
      </c>
      <c r="B16" s="123" t="s">
        <v>162</v>
      </c>
      <c r="C16" s="305">
        <v>0</v>
      </c>
      <c r="D16" s="305">
        <v>0</v>
      </c>
      <c r="E16" s="305">
        <v>0</v>
      </c>
      <c r="F16" s="305">
        <v>0</v>
      </c>
      <c r="G16" s="305">
        <v>0</v>
      </c>
      <c r="H16" s="305">
        <v>0</v>
      </c>
      <c r="I16" s="305">
        <v>0</v>
      </c>
      <c r="J16" s="305">
        <v>0</v>
      </c>
      <c r="K16" s="305">
        <v>0</v>
      </c>
      <c r="L16" s="305">
        <v>0</v>
      </c>
      <c r="M16" s="305">
        <f t="shared" si="1"/>
        <v>0</v>
      </c>
      <c r="N16" s="305">
        <v>0</v>
      </c>
      <c r="O16" s="305">
        <f t="shared" si="2"/>
        <v>0</v>
      </c>
    </row>
    <row r="17" spans="1:15" s="146" customFormat="1" ht="18" customHeight="1">
      <c r="A17" s="123" t="s">
        <v>102</v>
      </c>
      <c r="B17" s="123" t="s">
        <v>163</v>
      </c>
      <c r="C17" s="305">
        <v>0</v>
      </c>
      <c r="D17" s="305">
        <v>0</v>
      </c>
      <c r="E17" s="305">
        <v>0</v>
      </c>
      <c r="F17" s="305">
        <v>0</v>
      </c>
      <c r="G17" s="305">
        <v>0</v>
      </c>
      <c r="H17" s="305">
        <v>0</v>
      </c>
      <c r="I17" s="305">
        <v>0</v>
      </c>
      <c r="J17" s="305">
        <v>0</v>
      </c>
      <c r="K17" s="305">
        <v>0</v>
      </c>
      <c r="L17" s="305">
        <v>0</v>
      </c>
      <c r="M17" s="305">
        <f t="shared" si="1"/>
        <v>0</v>
      </c>
      <c r="N17" s="305">
        <v>0</v>
      </c>
      <c r="O17" s="305">
        <f t="shared" si="2"/>
        <v>0</v>
      </c>
    </row>
    <row r="18" spans="1:15" s="146" customFormat="1" ht="18" customHeight="1">
      <c r="A18" s="123" t="s">
        <v>103</v>
      </c>
      <c r="B18" s="123" t="s">
        <v>164</v>
      </c>
      <c r="C18" s="305">
        <v>-40030219</v>
      </c>
      <c r="D18" s="305">
        <v>0</v>
      </c>
      <c r="E18" s="305">
        <v>0</v>
      </c>
      <c r="F18" s="305">
        <v>0</v>
      </c>
      <c r="G18" s="305">
        <v>29377043</v>
      </c>
      <c r="H18" s="305">
        <v>0</v>
      </c>
      <c r="I18" s="305">
        <v>0</v>
      </c>
      <c r="J18" s="305">
        <v>0</v>
      </c>
      <c r="K18" s="305">
        <v>0</v>
      </c>
      <c r="L18" s="305">
        <v>0</v>
      </c>
      <c r="M18" s="305">
        <f t="shared" si="1"/>
        <v>29377043</v>
      </c>
      <c r="N18" s="305">
        <v>0</v>
      </c>
      <c r="O18" s="305">
        <f t="shared" si="2"/>
        <v>-10653176</v>
      </c>
    </row>
    <row r="19" spans="1:15" s="146" customFormat="1" ht="18" customHeight="1">
      <c r="A19" s="123" t="s">
        <v>104</v>
      </c>
      <c r="B19" s="123" t="s">
        <v>165</v>
      </c>
      <c r="C19" s="305">
        <v>21196835</v>
      </c>
      <c r="D19" s="305">
        <v>0</v>
      </c>
      <c r="E19" s="305">
        <v>0</v>
      </c>
      <c r="F19" s="305">
        <v>0</v>
      </c>
      <c r="G19" s="305">
        <v>-11240012</v>
      </c>
      <c r="H19" s="305">
        <v>0</v>
      </c>
      <c r="I19" s="305">
        <v>0</v>
      </c>
      <c r="J19" s="305">
        <v>0</v>
      </c>
      <c r="K19" s="305">
        <v>0</v>
      </c>
      <c r="L19" s="305">
        <v>0</v>
      </c>
      <c r="M19" s="305">
        <f t="shared" si="1"/>
        <v>-11240012</v>
      </c>
      <c r="N19" s="305">
        <v>0</v>
      </c>
      <c r="O19" s="305">
        <f t="shared" si="2"/>
        <v>9956823</v>
      </c>
    </row>
    <row r="20" spans="1:15" s="146" customFormat="1" ht="18" customHeight="1">
      <c r="A20" s="123" t="s">
        <v>105</v>
      </c>
      <c r="B20" s="123" t="s">
        <v>166</v>
      </c>
      <c r="C20" s="305">
        <v>-680143</v>
      </c>
      <c r="D20" s="305">
        <v>0</v>
      </c>
      <c r="E20" s="305">
        <v>0</v>
      </c>
      <c r="F20" s="305">
        <v>0</v>
      </c>
      <c r="G20" s="305">
        <v>0</v>
      </c>
      <c r="H20" s="305">
        <v>0</v>
      </c>
      <c r="I20" s="305">
        <v>0</v>
      </c>
      <c r="J20" s="305">
        <v>0</v>
      </c>
      <c r="K20" s="305">
        <v>0</v>
      </c>
      <c r="L20" s="305">
        <v>0</v>
      </c>
      <c r="M20" s="305">
        <f t="shared" si="1"/>
        <v>0</v>
      </c>
      <c r="N20" s="305">
        <v>0</v>
      </c>
      <c r="O20" s="305">
        <f t="shared" si="2"/>
        <v>-680143</v>
      </c>
    </row>
    <row r="21" spans="1:15" s="146" customFormat="1" ht="18" customHeight="1">
      <c r="A21" s="622" t="s">
        <v>230</v>
      </c>
      <c r="B21" s="623"/>
      <c r="C21" s="306">
        <f t="shared" ref="C21:O21" si="3">SUM(C10:C20)</f>
        <v>-15939404</v>
      </c>
      <c r="D21" s="306">
        <f t="shared" si="3"/>
        <v>0</v>
      </c>
      <c r="E21" s="306">
        <f t="shared" si="3"/>
        <v>0</v>
      </c>
      <c r="F21" s="306">
        <f t="shared" si="3"/>
        <v>0</v>
      </c>
      <c r="G21" s="306">
        <f t="shared" si="3"/>
        <v>18418447</v>
      </c>
      <c r="H21" s="306">
        <f t="shared" si="3"/>
        <v>0</v>
      </c>
      <c r="I21" s="306">
        <f t="shared" si="3"/>
        <v>0</v>
      </c>
      <c r="J21" s="306">
        <f t="shared" si="3"/>
        <v>0</v>
      </c>
      <c r="K21" s="306">
        <f t="shared" si="3"/>
        <v>0</v>
      </c>
      <c r="L21" s="306">
        <f t="shared" si="3"/>
        <v>0</v>
      </c>
      <c r="M21" s="306">
        <f t="shared" si="3"/>
        <v>18418447</v>
      </c>
      <c r="N21" s="306">
        <f t="shared" si="3"/>
        <v>0</v>
      </c>
      <c r="O21" s="306">
        <f t="shared" si="3"/>
        <v>2479043</v>
      </c>
    </row>
    <row r="22" spans="1:15" s="146" customFormat="1" ht="18" customHeight="1">
      <c r="A22" s="123" t="s">
        <v>28</v>
      </c>
      <c r="B22" s="123" t="s">
        <v>14</v>
      </c>
      <c r="C22" s="305">
        <v>0</v>
      </c>
      <c r="D22" s="305">
        <v>0</v>
      </c>
      <c r="E22" s="305">
        <v>0</v>
      </c>
      <c r="F22" s="305">
        <v>0</v>
      </c>
      <c r="G22" s="305">
        <v>0</v>
      </c>
      <c r="H22" s="305">
        <v>0</v>
      </c>
      <c r="I22" s="305">
        <v>0</v>
      </c>
      <c r="J22" s="305">
        <v>0</v>
      </c>
      <c r="K22" s="305">
        <v>0</v>
      </c>
      <c r="L22" s="305">
        <v>0</v>
      </c>
      <c r="M22" s="305">
        <f t="shared" ref="M22:M27" si="4">SUM(E22:L22)</f>
        <v>0</v>
      </c>
      <c r="N22" s="305">
        <v>0</v>
      </c>
      <c r="O22" s="305">
        <f t="shared" ref="O22:O27" si="5">SUM(C22,D22,M22,N22)</f>
        <v>0</v>
      </c>
    </row>
    <row r="23" spans="1:15" s="146" customFormat="1" ht="18" customHeight="1">
      <c r="A23" s="123" t="s">
        <v>106</v>
      </c>
      <c r="B23" s="123" t="s">
        <v>15</v>
      </c>
      <c r="C23" s="305">
        <v>0</v>
      </c>
      <c r="D23" s="305">
        <v>0</v>
      </c>
      <c r="E23" s="305">
        <v>0</v>
      </c>
      <c r="F23" s="305">
        <v>0</v>
      </c>
      <c r="G23" s="305">
        <v>0</v>
      </c>
      <c r="H23" s="305">
        <v>0</v>
      </c>
      <c r="I23" s="305">
        <v>0</v>
      </c>
      <c r="J23" s="305">
        <v>0</v>
      </c>
      <c r="K23" s="305">
        <v>0</v>
      </c>
      <c r="L23" s="305">
        <v>0</v>
      </c>
      <c r="M23" s="305">
        <f t="shared" si="4"/>
        <v>0</v>
      </c>
      <c r="N23" s="305">
        <v>0</v>
      </c>
      <c r="O23" s="305">
        <f t="shared" si="5"/>
        <v>0</v>
      </c>
    </row>
    <row r="24" spans="1:15" s="146" customFormat="1" ht="18" customHeight="1">
      <c r="A24" s="123" t="s">
        <v>107</v>
      </c>
      <c r="B24" s="123" t="s">
        <v>16</v>
      </c>
      <c r="C24" s="305">
        <v>0</v>
      </c>
      <c r="D24" s="305">
        <v>0</v>
      </c>
      <c r="E24" s="305">
        <v>0</v>
      </c>
      <c r="F24" s="305">
        <v>0</v>
      </c>
      <c r="G24" s="305">
        <v>0</v>
      </c>
      <c r="H24" s="305">
        <v>0</v>
      </c>
      <c r="I24" s="305">
        <v>0</v>
      </c>
      <c r="J24" s="305">
        <v>0</v>
      </c>
      <c r="K24" s="305">
        <v>0</v>
      </c>
      <c r="L24" s="305">
        <v>0</v>
      </c>
      <c r="M24" s="305">
        <f t="shared" si="4"/>
        <v>0</v>
      </c>
      <c r="N24" s="305">
        <v>0</v>
      </c>
      <c r="O24" s="305">
        <f t="shared" si="5"/>
        <v>0</v>
      </c>
    </row>
    <row r="25" spans="1:15" s="146" customFormat="1" ht="18" customHeight="1">
      <c r="A25" s="123" t="s">
        <v>93</v>
      </c>
      <c r="B25" s="123" t="s">
        <v>135</v>
      </c>
      <c r="C25" s="305">
        <v>0</v>
      </c>
      <c r="D25" s="305">
        <v>0</v>
      </c>
      <c r="E25" s="305">
        <v>0</v>
      </c>
      <c r="F25" s="305">
        <v>0</v>
      </c>
      <c r="G25" s="305">
        <v>0</v>
      </c>
      <c r="H25" s="305">
        <v>0</v>
      </c>
      <c r="I25" s="305">
        <v>0</v>
      </c>
      <c r="J25" s="305">
        <v>0</v>
      </c>
      <c r="K25" s="305">
        <v>0</v>
      </c>
      <c r="L25" s="305">
        <v>0</v>
      </c>
      <c r="M25" s="305">
        <f t="shared" si="4"/>
        <v>0</v>
      </c>
      <c r="N25" s="305">
        <v>0</v>
      </c>
      <c r="O25" s="305">
        <f t="shared" si="5"/>
        <v>0</v>
      </c>
    </row>
    <row r="26" spans="1:15" s="146" customFormat="1" ht="18" customHeight="1">
      <c r="A26" s="123" t="s">
        <v>94</v>
      </c>
      <c r="B26" s="123" t="s">
        <v>290</v>
      </c>
      <c r="C26" s="305">
        <v>0</v>
      </c>
      <c r="D26" s="305">
        <v>0</v>
      </c>
      <c r="E26" s="305">
        <v>0</v>
      </c>
      <c r="F26" s="305">
        <v>0</v>
      </c>
      <c r="G26" s="305">
        <v>0</v>
      </c>
      <c r="H26" s="305">
        <v>0</v>
      </c>
      <c r="I26" s="305">
        <v>0</v>
      </c>
      <c r="J26" s="305">
        <v>0</v>
      </c>
      <c r="K26" s="305">
        <v>0</v>
      </c>
      <c r="L26" s="305">
        <v>0</v>
      </c>
      <c r="M26" s="305">
        <f t="shared" si="4"/>
        <v>0</v>
      </c>
      <c r="N26" s="305">
        <v>0</v>
      </c>
      <c r="O26" s="305">
        <f t="shared" si="5"/>
        <v>0</v>
      </c>
    </row>
    <row r="27" spans="1:15" s="146" customFormat="1" ht="18" customHeight="1">
      <c r="A27" s="123" t="s">
        <v>108</v>
      </c>
      <c r="B27" s="123" t="s">
        <v>136</v>
      </c>
      <c r="C27" s="305">
        <v>0</v>
      </c>
      <c r="D27" s="305">
        <v>0</v>
      </c>
      <c r="E27" s="305">
        <v>0</v>
      </c>
      <c r="F27" s="305">
        <v>0</v>
      </c>
      <c r="G27" s="305">
        <v>0</v>
      </c>
      <c r="H27" s="305">
        <v>0</v>
      </c>
      <c r="I27" s="305">
        <v>0</v>
      </c>
      <c r="J27" s="305">
        <v>0</v>
      </c>
      <c r="K27" s="305">
        <v>0</v>
      </c>
      <c r="L27" s="305">
        <v>0</v>
      </c>
      <c r="M27" s="305">
        <f t="shared" si="4"/>
        <v>0</v>
      </c>
      <c r="N27" s="305">
        <v>0</v>
      </c>
      <c r="O27" s="305">
        <f t="shared" si="5"/>
        <v>0</v>
      </c>
    </row>
    <row r="28" spans="1:15" s="146" customFormat="1" ht="18" customHeight="1">
      <c r="A28" s="622" t="s">
        <v>231</v>
      </c>
      <c r="B28" s="623"/>
      <c r="C28" s="306">
        <f t="shared" ref="C28:L28" si="6">SUM(C22:C27)</f>
        <v>0</v>
      </c>
      <c r="D28" s="306">
        <f t="shared" si="6"/>
        <v>0</v>
      </c>
      <c r="E28" s="306">
        <f t="shared" si="6"/>
        <v>0</v>
      </c>
      <c r="F28" s="306">
        <f t="shared" si="6"/>
        <v>0</v>
      </c>
      <c r="G28" s="306">
        <f t="shared" si="6"/>
        <v>0</v>
      </c>
      <c r="H28" s="306">
        <f t="shared" si="6"/>
        <v>0</v>
      </c>
      <c r="I28" s="306">
        <f t="shared" si="6"/>
        <v>0</v>
      </c>
      <c r="J28" s="306">
        <f t="shared" si="6"/>
        <v>0</v>
      </c>
      <c r="K28" s="306">
        <f t="shared" si="6"/>
        <v>0</v>
      </c>
      <c r="L28" s="306">
        <f t="shared" si="6"/>
        <v>0</v>
      </c>
      <c r="M28" s="306">
        <f>SUM(M22:M27)</f>
        <v>0</v>
      </c>
      <c r="N28" s="306">
        <f>SUM(N22:N27)</f>
        <v>0</v>
      </c>
      <c r="O28" s="306">
        <f>SUM(O22:O27)</f>
        <v>0</v>
      </c>
    </row>
    <row r="29" spans="1:15" s="146" customFormat="1" ht="18" customHeight="1">
      <c r="A29" s="123" t="s">
        <v>95</v>
      </c>
      <c r="B29" s="123" t="s">
        <v>17</v>
      </c>
      <c r="C29" s="305">
        <v>0</v>
      </c>
      <c r="D29" s="305">
        <v>0</v>
      </c>
      <c r="E29" s="305">
        <v>0</v>
      </c>
      <c r="F29" s="305">
        <v>0</v>
      </c>
      <c r="G29" s="305">
        <v>0</v>
      </c>
      <c r="H29" s="305">
        <v>0</v>
      </c>
      <c r="I29" s="305">
        <v>0</v>
      </c>
      <c r="J29" s="305">
        <v>0</v>
      </c>
      <c r="K29" s="305">
        <v>0</v>
      </c>
      <c r="L29" s="305">
        <v>0</v>
      </c>
      <c r="M29" s="305">
        <f t="shared" ref="M29:M31" si="7">SUM(E29:L29)</f>
        <v>0</v>
      </c>
      <c r="N29" s="305">
        <v>0</v>
      </c>
      <c r="O29" s="305">
        <f t="shared" ref="O29:O38" si="8">SUM(C29,D29,M29,N29)</f>
        <v>0</v>
      </c>
    </row>
    <row r="30" spans="1:15" s="146" customFormat="1" ht="18" customHeight="1">
      <c r="A30" s="123" t="s">
        <v>96</v>
      </c>
      <c r="B30" s="123" t="s">
        <v>109</v>
      </c>
      <c r="C30" s="305">
        <v>0</v>
      </c>
      <c r="D30" s="305">
        <v>0</v>
      </c>
      <c r="E30" s="305">
        <v>0</v>
      </c>
      <c r="F30" s="305">
        <v>0</v>
      </c>
      <c r="G30" s="305">
        <v>0</v>
      </c>
      <c r="H30" s="305">
        <v>0</v>
      </c>
      <c r="I30" s="305">
        <v>0</v>
      </c>
      <c r="J30" s="305">
        <v>0</v>
      </c>
      <c r="K30" s="305">
        <v>0</v>
      </c>
      <c r="L30" s="305">
        <v>0</v>
      </c>
      <c r="M30" s="305">
        <f t="shared" si="7"/>
        <v>0</v>
      </c>
      <c r="N30" s="305">
        <v>0</v>
      </c>
      <c r="O30" s="305">
        <f t="shared" si="8"/>
        <v>0</v>
      </c>
    </row>
    <row r="31" spans="1:15" s="146" customFormat="1" ht="18" customHeight="1">
      <c r="A31" s="123" t="s">
        <v>97</v>
      </c>
      <c r="B31" s="113" t="s">
        <v>168</v>
      </c>
      <c r="C31" s="305">
        <v>0</v>
      </c>
      <c r="D31" s="305">
        <v>0</v>
      </c>
      <c r="E31" s="305">
        <v>0</v>
      </c>
      <c r="F31" s="305">
        <v>0</v>
      </c>
      <c r="G31" s="305">
        <v>0</v>
      </c>
      <c r="H31" s="305">
        <v>0</v>
      </c>
      <c r="I31" s="305">
        <v>0</v>
      </c>
      <c r="J31" s="305">
        <v>0</v>
      </c>
      <c r="K31" s="305">
        <v>0</v>
      </c>
      <c r="L31" s="305">
        <v>0</v>
      </c>
      <c r="M31" s="305">
        <f t="shared" si="7"/>
        <v>0</v>
      </c>
      <c r="N31" s="305">
        <v>0</v>
      </c>
      <c r="O31" s="305">
        <f t="shared" si="8"/>
        <v>0</v>
      </c>
    </row>
    <row r="32" spans="1:15" s="307" customFormat="1" ht="18" customHeight="1">
      <c r="A32" s="622" t="s">
        <v>232</v>
      </c>
      <c r="B32" s="623"/>
      <c r="C32" s="306">
        <f t="shared" ref="C32:L32" si="9">SUM(C29:C31)</f>
        <v>0</v>
      </c>
      <c r="D32" s="306">
        <f t="shared" si="9"/>
        <v>0</v>
      </c>
      <c r="E32" s="306">
        <f t="shared" si="9"/>
        <v>0</v>
      </c>
      <c r="F32" s="306">
        <f t="shared" si="9"/>
        <v>0</v>
      </c>
      <c r="G32" s="306">
        <f t="shared" si="9"/>
        <v>0</v>
      </c>
      <c r="H32" s="306">
        <f t="shared" si="9"/>
        <v>0</v>
      </c>
      <c r="I32" s="306">
        <f t="shared" si="9"/>
        <v>0</v>
      </c>
      <c r="J32" s="306">
        <f t="shared" si="9"/>
        <v>0</v>
      </c>
      <c r="K32" s="306">
        <f t="shared" si="9"/>
        <v>0</v>
      </c>
      <c r="L32" s="306">
        <f t="shared" si="9"/>
        <v>0</v>
      </c>
      <c r="M32" s="306">
        <f>SUM(M29:M31)</f>
        <v>0</v>
      </c>
      <c r="N32" s="306">
        <f>SUM(N29:N31)</f>
        <v>0</v>
      </c>
      <c r="O32" s="306">
        <f>SUM(O29:O31)</f>
        <v>0</v>
      </c>
    </row>
    <row r="33" spans="1:15" s="307" customFormat="1" ht="18" customHeight="1">
      <c r="A33" s="136" t="s">
        <v>98</v>
      </c>
      <c r="B33" s="308" t="s">
        <v>18</v>
      </c>
      <c r="C33" s="305">
        <v>0</v>
      </c>
      <c r="D33" s="305">
        <v>0</v>
      </c>
      <c r="E33" s="305">
        <v>0</v>
      </c>
      <c r="F33" s="305">
        <v>0</v>
      </c>
      <c r="G33" s="305">
        <v>0</v>
      </c>
      <c r="H33" s="305">
        <v>0</v>
      </c>
      <c r="I33" s="305">
        <v>0</v>
      </c>
      <c r="J33" s="305">
        <v>0</v>
      </c>
      <c r="K33" s="305">
        <v>0</v>
      </c>
      <c r="L33" s="305">
        <v>0</v>
      </c>
      <c r="M33" s="305">
        <f t="shared" ref="M33:M36" si="10">SUM(E33:L33)</f>
        <v>0</v>
      </c>
      <c r="N33" s="305">
        <v>0</v>
      </c>
      <c r="O33" s="305">
        <f t="shared" si="8"/>
        <v>0</v>
      </c>
    </row>
    <row r="34" spans="1:15" s="307" customFormat="1" ht="18" customHeight="1">
      <c r="A34" s="136" t="s">
        <v>252</v>
      </c>
      <c r="B34" s="308" t="s">
        <v>19</v>
      </c>
      <c r="C34" s="305">
        <v>0</v>
      </c>
      <c r="D34" s="305">
        <v>0</v>
      </c>
      <c r="E34" s="305">
        <v>0</v>
      </c>
      <c r="F34" s="305">
        <v>0</v>
      </c>
      <c r="G34" s="305">
        <v>0</v>
      </c>
      <c r="H34" s="305">
        <v>0</v>
      </c>
      <c r="I34" s="305">
        <v>0</v>
      </c>
      <c r="J34" s="305">
        <v>0</v>
      </c>
      <c r="K34" s="305">
        <v>0</v>
      </c>
      <c r="L34" s="305">
        <v>0</v>
      </c>
      <c r="M34" s="305">
        <f t="shared" si="10"/>
        <v>0</v>
      </c>
      <c r="N34" s="305">
        <v>0</v>
      </c>
      <c r="O34" s="305">
        <f>SUM(C34,D34,M34,N34)</f>
        <v>0</v>
      </c>
    </row>
    <row r="35" spans="1:15" s="307" customFormat="1" ht="18" customHeight="1">
      <c r="A35" s="136" t="s">
        <v>253</v>
      </c>
      <c r="B35" s="308" t="s">
        <v>20</v>
      </c>
      <c r="C35" s="305">
        <v>0</v>
      </c>
      <c r="D35" s="305">
        <v>0</v>
      </c>
      <c r="E35" s="305">
        <v>0</v>
      </c>
      <c r="F35" s="305">
        <v>0</v>
      </c>
      <c r="G35" s="305">
        <v>0</v>
      </c>
      <c r="H35" s="305">
        <v>0</v>
      </c>
      <c r="I35" s="305">
        <v>0</v>
      </c>
      <c r="J35" s="305">
        <v>0</v>
      </c>
      <c r="K35" s="305">
        <v>0</v>
      </c>
      <c r="L35" s="305">
        <v>0</v>
      </c>
      <c r="M35" s="305">
        <f t="shared" si="10"/>
        <v>0</v>
      </c>
      <c r="N35" s="305">
        <v>0</v>
      </c>
      <c r="O35" s="305">
        <f>SUM(C35,D35,M35,N35)</f>
        <v>0</v>
      </c>
    </row>
    <row r="36" spans="1:15" s="307" customFormat="1" ht="18" customHeight="1">
      <c r="A36" s="136" t="s">
        <v>254</v>
      </c>
      <c r="B36" s="308" t="s">
        <v>21</v>
      </c>
      <c r="C36" s="305">
        <v>0</v>
      </c>
      <c r="D36" s="305">
        <v>0</v>
      </c>
      <c r="E36" s="305">
        <v>0</v>
      </c>
      <c r="F36" s="305">
        <v>0</v>
      </c>
      <c r="G36" s="305">
        <v>0</v>
      </c>
      <c r="H36" s="305">
        <v>0</v>
      </c>
      <c r="I36" s="305">
        <v>0</v>
      </c>
      <c r="J36" s="305">
        <v>0</v>
      </c>
      <c r="K36" s="305">
        <v>0</v>
      </c>
      <c r="L36" s="305">
        <v>0</v>
      </c>
      <c r="M36" s="305">
        <f t="shared" si="10"/>
        <v>0</v>
      </c>
      <c r="N36" s="305">
        <v>0</v>
      </c>
      <c r="O36" s="305">
        <f>SUM(C36,D36,M36,N36)</f>
        <v>0</v>
      </c>
    </row>
    <row r="37" spans="1:15" s="307" customFormat="1" ht="18" customHeight="1">
      <c r="A37" s="616" t="s">
        <v>352</v>
      </c>
      <c r="B37" s="617"/>
      <c r="C37" s="306">
        <f t="shared" ref="C37:L37" si="11">SUM(C33:C36)</f>
        <v>0</v>
      </c>
      <c r="D37" s="306">
        <f t="shared" si="11"/>
        <v>0</v>
      </c>
      <c r="E37" s="306">
        <f t="shared" si="11"/>
        <v>0</v>
      </c>
      <c r="F37" s="306">
        <f t="shared" si="11"/>
        <v>0</v>
      </c>
      <c r="G37" s="306">
        <f t="shared" si="11"/>
        <v>0</v>
      </c>
      <c r="H37" s="306">
        <f t="shared" si="11"/>
        <v>0</v>
      </c>
      <c r="I37" s="306">
        <f t="shared" si="11"/>
        <v>0</v>
      </c>
      <c r="J37" s="306">
        <f t="shared" si="11"/>
        <v>0</v>
      </c>
      <c r="K37" s="306">
        <f t="shared" si="11"/>
        <v>0</v>
      </c>
      <c r="L37" s="306">
        <f t="shared" si="11"/>
        <v>0</v>
      </c>
      <c r="M37" s="306">
        <f>SUM(M33:M36)</f>
        <v>0</v>
      </c>
      <c r="N37" s="306">
        <f>SUM(N33:N36)</f>
        <v>0</v>
      </c>
      <c r="O37" s="306">
        <f>SUM(O33:O36)</f>
        <v>0</v>
      </c>
    </row>
    <row r="38" spans="1:15" s="146" customFormat="1" ht="18" customHeight="1">
      <c r="A38" s="122" t="s">
        <v>99</v>
      </c>
      <c r="B38" s="125" t="s">
        <v>110</v>
      </c>
      <c r="C38" s="305">
        <v>0</v>
      </c>
      <c r="D38" s="305">
        <v>0</v>
      </c>
      <c r="E38" s="305">
        <v>0</v>
      </c>
      <c r="F38" s="305">
        <v>0</v>
      </c>
      <c r="G38" s="305">
        <v>0</v>
      </c>
      <c r="H38" s="305">
        <v>0</v>
      </c>
      <c r="I38" s="305">
        <v>0</v>
      </c>
      <c r="J38" s="305">
        <v>0</v>
      </c>
      <c r="K38" s="305">
        <v>0</v>
      </c>
      <c r="L38" s="305">
        <v>0</v>
      </c>
      <c r="M38" s="305">
        <f>SUM(E38:L38)</f>
        <v>0</v>
      </c>
      <c r="N38" s="305">
        <v>0</v>
      </c>
      <c r="O38" s="305">
        <f t="shared" si="8"/>
        <v>0</v>
      </c>
    </row>
    <row r="39" spans="1:15" s="307" customFormat="1" ht="18" customHeight="1">
      <c r="A39" s="622" t="s">
        <v>255</v>
      </c>
      <c r="B39" s="623"/>
      <c r="C39" s="306">
        <f t="shared" ref="C39:O39" si="12">SUM(C38:C38)</f>
        <v>0</v>
      </c>
      <c r="D39" s="306">
        <f t="shared" si="12"/>
        <v>0</v>
      </c>
      <c r="E39" s="306">
        <f t="shared" si="12"/>
        <v>0</v>
      </c>
      <c r="F39" s="306">
        <f t="shared" si="12"/>
        <v>0</v>
      </c>
      <c r="G39" s="306">
        <f t="shared" si="12"/>
        <v>0</v>
      </c>
      <c r="H39" s="306">
        <f t="shared" si="12"/>
        <v>0</v>
      </c>
      <c r="I39" s="306">
        <f t="shared" si="12"/>
        <v>0</v>
      </c>
      <c r="J39" s="306">
        <f t="shared" si="12"/>
        <v>0</v>
      </c>
      <c r="K39" s="306">
        <f t="shared" si="12"/>
        <v>0</v>
      </c>
      <c r="L39" s="306"/>
      <c r="M39" s="306">
        <f t="shared" si="12"/>
        <v>0</v>
      </c>
      <c r="N39" s="306">
        <f t="shared" si="12"/>
        <v>0</v>
      </c>
      <c r="O39" s="306">
        <f t="shared" si="12"/>
        <v>0</v>
      </c>
    </row>
    <row r="40" spans="1:15" s="307" customFormat="1" ht="18" customHeight="1">
      <c r="A40" s="470"/>
      <c r="B40" s="470"/>
      <c r="C40" s="309"/>
      <c r="D40" s="309"/>
      <c r="E40" s="309"/>
      <c r="F40" s="309"/>
      <c r="G40" s="309"/>
      <c r="H40" s="309"/>
      <c r="I40" s="309"/>
      <c r="J40" s="309"/>
      <c r="K40" s="309"/>
      <c r="L40" s="309"/>
      <c r="M40" s="309"/>
      <c r="N40" s="309"/>
      <c r="O40" s="309"/>
    </row>
    <row r="41" spans="1:15" s="307" customFormat="1" ht="18" customHeight="1">
      <c r="A41" s="122" t="s">
        <v>525</v>
      </c>
      <c r="B41" s="125" t="s">
        <v>526</v>
      </c>
      <c r="C41" s="305">
        <v>0</v>
      </c>
      <c r="D41" s="305">
        <v>0</v>
      </c>
      <c r="E41" s="305">
        <v>0</v>
      </c>
      <c r="F41" s="305">
        <v>0</v>
      </c>
      <c r="G41" s="305">
        <v>0</v>
      </c>
      <c r="H41" s="305">
        <v>0</v>
      </c>
      <c r="I41" s="305">
        <v>0</v>
      </c>
      <c r="J41" s="305">
        <v>0</v>
      </c>
      <c r="K41" s="305">
        <v>0</v>
      </c>
      <c r="L41" s="305">
        <v>0</v>
      </c>
      <c r="M41" s="305">
        <f>SUM(E41:L41)</f>
        <v>0</v>
      </c>
      <c r="N41" s="305">
        <v>0</v>
      </c>
      <c r="O41" s="305">
        <f t="shared" ref="O41" si="13">SUM(C41,D41,M41,N41)</f>
        <v>0</v>
      </c>
    </row>
    <row r="42" spans="1:15" s="307" customFormat="1" ht="39" customHeight="1">
      <c r="A42" s="622" t="s">
        <v>580</v>
      </c>
      <c r="B42" s="623"/>
      <c r="C42" s="306">
        <f t="shared" ref="C42:K42" si="14">SUM(C41:C41)</f>
        <v>0</v>
      </c>
      <c r="D42" s="306">
        <f t="shared" si="14"/>
        <v>0</v>
      </c>
      <c r="E42" s="306">
        <f t="shared" si="14"/>
        <v>0</v>
      </c>
      <c r="F42" s="306">
        <f t="shared" si="14"/>
        <v>0</v>
      </c>
      <c r="G42" s="306">
        <f t="shared" si="14"/>
        <v>0</v>
      </c>
      <c r="H42" s="306">
        <f t="shared" si="14"/>
        <v>0</v>
      </c>
      <c r="I42" s="306">
        <f t="shared" si="14"/>
        <v>0</v>
      </c>
      <c r="J42" s="306">
        <f t="shared" si="14"/>
        <v>0</v>
      </c>
      <c r="K42" s="306">
        <f t="shared" si="14"/>
        <v>0</v>
      </c>
      <c r="L42" s="306"/>
      <c r="M42" s="306">
        <f t="shared" ref="M42:O42" si="15">SUM(M41:M41)</f>
        <v>0</v>
      </c>
      <c r="N42" s="306">
        <f t="shared" si="15"/>
        <v>0</v>
      </c>
      <c r="O42" s="306">
        <f t="shared" si="15"/>
        <v>0</v>
      </c>
    </row>
    <row r="43" spans="1:15" s="307" customFormat="1" ht="18" customHeight="1" thickBot="1">
      <c r="A43" s="310" t="s">
        <v>233</v>
      </c>
      <c r="B43" s="310"/>
      <c r="C43" s="311">
        <f t="shared" ref="C43:O43" si="16">SUM(C39,C37,C32,C28,C21,C9,)</f>
        <v>-15939404</v>
      </c>
      <c r="D43" s="311">
        <f t="shared" si="16"/>
        <v>0</v>
      </c>
      <c r="E43" s="311">
        <f t="shared" si="16"/>
        <v>0</v>
      </c>
      <c r="F43" s="311">
        <f t="shared" si="16"/>
        <v>0</v>
      </c>
      <c r="G43" s="311">
        <f t="shared" si="16"/>
        <v>18418447</v>
      </c>
      <c r="H43" s="311">
        <f t="shared" si="16"/>
        <v>0</v>
      </c>
      <c r="I43" s="311">
        <f t="shared" si="16"/>
        <v>0</v>
      </c>
      <c r="J43" s="311">
        <f t="shared" si="16"/>
        <v>0</v>
      </c>
      <c r="K43" s="311">
        <f t="shared" si="16"/>
        <v>0</v>
      </c>
      <c r="L43" s="311">
        <f t="shared" si="16"/>
        <v>0</v>
      </c>
      <c r="M43" s="311">
        <f t="shared" si="16"/>
        <v>18418447</v>
      </c>
      <c r="N43" s="311">
        <f t="shared" si="16"/>
        <v>0</v>
      </c>
      <c r="O43" s="311">
        <f t="shared" si="16"/>
        <v>2479043</v>
      </c>
    </row>
    <row r="44" spans="1:15" ht="16.2" thickTop="1">
      <c r="A44" s="296"/>
      <c r="B44" s="296"/>
    </row>
    <row r="45" spans="1:15">
      <c r="C45" s="389"/>
      <c r="O45" s="389"/>
    </row>
    <row r="46" spans="1:15">
      <c r="C46" s="389"/>
      <c r="O46" s="389"/>
    </row>
    <row r="47" spans="1:15">
      <c r="C47" s="389"/>
    </row>
    <row r="48" spans="1:15">
      <c r="C48" s="389"/>
      <c r="O48" s="389"/>
    </row>
    <row r="51" spans="1:14">
      <c r="A51" s="296"/>
      <c r="B51" s="296"/>
    </row>
    <row r="52" spans="1:14">
      <c r="A52" s="296"/>
      <c r="B52" s="296"/>
    </row>
    <row r="53" spans="1:14">
      <c r="A53" s="296"/>
      <c r="B53" s="296"/>
    </row>
    <row r="58" spans="1:14">
      <c r="N58" s="171"/>
    </row>
  </sheetData>
  <mergeCells count="8">
    <mergeCell ref="A42:B42"/>
    <mergeCell ref="E5:M5"/>
    <mergeCell ref="A9:B9"/>
    <mergeCell ref="A37:B37"/>
    <mergeCell ref="A39:B39"/>
    <mergeCell ref="A21:B21"/>
    <mergeCell ref="A32:B32"/>
    <mergeCell ref="A28:B28"/>
  </mergeCells>
  <phoneticPr fontId="11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2022-02-02T17:25:58Z</dcterms:modified>
</cp:coreProperties>
</file>