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fpstx-my.sharepoint.com/personal/michelle_michael_dfps_texas_gov/Documents/Desktop/"/>
    </mc:Choice>
  </mc:AlternateContent>
  <xr:revisionPtr revIDLastSave="6" documentId="13_ncr:1_{2B742BA0-85E1-453D-94AB-D417027213E2}" xr6:coauthVersionLast="45" xr6:coauthVersionMax="47" xr10:uidLastSave="{04DA68E6-29C3-4FAD-8B57-B3ED52D65579}"/>
  <bookViews>
    <workbookView xWindow="-120" yWindow="-120" windowWidth="24240" windowHeight="13140" xr2:uid="{BB5D1927-4B22-4EF7-A2F0-E48BEE84EDA5}"/>
  </bookViews>
  <sheets>
    <sheet name="Summary" sheetId="3" r:id="rId1"/>
    <sheet name="Legacy Data" sheetId="1" r:id="rId2"/>
    <sheet name="CBC 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3" l="1"/>
  <c r="L16" i="1" l="1"/>
  <c r="K16" i="1"/>
  <c r="Q16" i="1"/>
  <c r="P16" i="1"/>
  <c r="O16" i="1"/>
  <c r="N16" i="1"/>
  <c r="M16" i="1"/>
  <c r="J16" i="1"/>
  <c r="I16" i="1"/>
  <c r="H68" i="2"/>
  <c r="I68" i="2" s="1"/>
  <c r="H67" i="2"/>
  <c r="I67" i="2" s="1"/>
  <c r="H66" i="2"/>
  <c r="I66" i="2" s="1"/>
  <c r="H65" i="2"/>
  <c r="I65" i="2" s="1"/>
  <c r="I64" i="2"/>
  <c r="H64" i="2"/>
  <c r="H63" i="2"/>
  <c r="I63" i="2" s="1"/>
  <c r="I62" i="2"/>
  <c r="H62" i="2"/>
  <c r="H61" i="2"/>
  <c r="I61" i="2" s="1"/>
  <c r="H60" i="2"/>
  <c r="I60" i="2" s="1"/>
  <c r="H59" i="2"/>
  <c r="I59" i="2" s="1"/>
  <c r="H58" i="2"/>
  <c r="I58" i="2" s="1"/>
  <c r="H57" i="2"/>
  <c r="I57" i="2" s="1"/>
  <c r="I56" i="2"/>
  <c r="H56" i="2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I44" i="2"/>
  <c r="H44" i="2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AA18" i="2"/>
  <c r="Y18" i="2"/>
  <c r="D26" i="3" s="1"/>
  <c r="W18" i="2"/>
  <c r="V18" i="2"/>
  <c r="U18" i="2"/>
  <c r="D22" i="3" s="1"/>
  <c r="T18" i="2"/>
  <c r="S18" i="2"/>
  <c r="R18" i="2"/>
  <c r="D19" i="3" s="1"/>
  <c r="Q18" i="2"/>
  <c r="D18" i="3" s="1"/>
  <c r="P18" i="2"/>
  <c r="O18" i="2"/>
  <c r="N18" i="2"/>
  <c r="L18" i="2"/>
  <c r="F13" i="1"/>
  <c r="E13" i="1"/>
  <c r="D13" i="1"/>
  <c r="C13" i="1"/>
  <c r="B13" i="1"/>
  <c r="G3" i="3" s="1"/>
  <c r="BE4" i="2"/>
  <c r="BD4" i="2"/>
  <c r="BC4" i="2"/>
  <c r="BB4" i="2"/>
  <c r="Z18" i="2" l="1"/>
  <c r="D27" i="3" s="1"/>
  <c r="M18" i="2"/>
  <c r="D14" i="3" s="1"/>
  <c r="X18" i="2"/>
  <c r="D25" i="3" s="1"/>
  <c r="D21" i="3"/>
  <c r="D24" i="3"/>
  <c r="D23" i="3"/>
  <c r="D17" i="3"/>
  <c r="D15" i="3"/>
  <c r="D16" i="3"/>
  <c r="D20" i="3"/>
  <c r="D28" i="3"/>
  <c r="BA4" i="2"/>
  <c r="AZ4" i="2"/>
  <c r="AY4" i="2"/>
  <c r="AX4" i="2"/>
  <c r="AW4" i="2"/>
  <c r="AV4" i="2"/>
  <c r="AU4" i="2"/>
  <c r="AT4" i="2"/>
  <c r="AS4" i="2"/>
  <c r="AR4" i="2"/>
  <c r="AQ4" i="2"/>
  <c r="AP4" i="2"/>
  <c r="H33" i="2" l="1"/>
  <c r="I33" i="2" s="1"/>
  <c r="D3" i="3" l="1"/>
  <c r="H32" i="2"/>
  <c r="I32" i="2" s="1"/>
  <c r="K4" i="2" l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3" i="2" l="1"/>
  <c r="I3" i="2" s="1"/>
  <c r="H4" i="2"/>
  <c r="I4" i="2" s="1"/>
  <c r="H5" i="2"/>
  <c r="I5" i="2" s="1"/>
  <c r="H6" i="2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30" i="2"/>
  <c r="I30" i="2" s="1"/>
  <c r="H31" i="2"/>
  <c r="I31" i="2" s="1"/>
  <c r="H3" i="3"/>
  <c r="I3" i="3"/>
  <c r="J3" i="3"/>
  <c r="BI4" i="2"/>
  <c r="BH4" i="2"/>
  <c r="BG4" i="2"/>
  <c r="BF4" i="2"/>
  <c r="AO4" i="2"/>
  <c r="AN4" i="2"/>
  <c r="AM4" i="2"/>
  <c r="AL4" i="2"/>
  <c r="AK4" i="2"/>
  <c r="AJ4" i="2"/>
  <c r="AI4" i="2"/>
  <c r="AH4" i="2"/>
  <c r="AG4" i="2"/>
  <c r="AF4" i="2"/>
  <c r="AE4" i="2"/>
  <c r="AD4" i="2"/>
  <c r="H37" i="2"/>
  <c r="I37" i="2" s="1"/>
  <c r="K3" i="3" l="1"/>
  <c r="I5" i="3"/>
  <c r="H2" i="2"/>
  <c r="I2" i="2" l="1"/>
  <c r="D13" i="3"/>
  <c r="E42" i="2" l="1"/>
  <c r="E38" i="2"/>
  <c r="E41" i="2"/>
  <c r="E40" i="2"/>
  <c r="F38" i="2"/>
  <c r="G44" i="2"/>
  <c r="F41" i="2"/>
  <c r="E44" i="2"/>
  <c r="D40" i="2"/>
  <c r="G38" i="2"/>
  <c r="G43" i="2"/>
  <c r="G39" i="2"/>
  <c r="F40" i="2"/>
  <c r="D39" i="2"/>
  <c r="F42" i="2"/>
  <c r="F43" i="2"/>
  <c r="F39" i="2"/>
  <c r="F44" i="2"/>
  <c r="D43" i="2"/>
  <c r="D41" i="2"/>
  <c r="G42" i="2"/>
  <c r="E43" i="2"/>
  <c r="E39" i="2"/>
  <c r="D38" i="2"/>
  <c r="G40" i="2"/>
  <c r="G41" i="2"/>
  <c r="D44" i="2"/>
  <c r="D42" i="2"/>
  <c r="G65" i="2"/>
  <c r="G46" i="2"/>
  <c r="F45" i="2"/>
  <c r="D55" i="2"/>
  <c r="E62" i="2"/>
  <c r="F61" i="2"/>
  <c r="F52" i="2"/>
  <c r="E51" i="2"/>
  <c r="D51" i="2"/>
  <c r="E66" i="2"/>
  <c r="D48" i="2"/>
  <c r="E56" i="2"/>
  <c r="F62" i="2"/>
  <c r="D46" i="2"/>
  <c r="G55" i="2"/>
  <c r="D59" i="2"/>
  <c r="F64" i="2"/>
  <c r="G49" i="2"/>
  <c r="D57" i="2"/>
  <c r="E58" i="2"/>
  <c r="D52" i="2"/>
  <c r="G60" i="2"/>
  <c r="D65" i="2"/>
  <c r="D64" i="2"/>
  <c r="E47" i="2"/>
  <c r="D47" i="2"/>
  <c r="E49" i="2"/>
  <c r="E52" i="2"/>
  <c r="E55" i="2"/>
  <c r="D66" i="2"/>
  <c r="F59" i="2"/>
  <c r="F68" i="2"/>
  <c r="F53" i="2"/>
  <c r="G61" i="2"/>
  <c r="G66" i="2"/>
  <c r="F65" i="2"/>
  <c r="G48" i="2"/>
  <c r="G63" i="2"/>
  <c r="E57" i="2"/>
  <c r="D56" i="2"/>
  <c r="E68" i="2"/>
  <c r="D68" i="2"/>
  <c r="E54" i="2"/>
  <c r="E61" i="2"/>
  <c r="E60" i="2"/>
  <c r="F48" i="2"/>
  <c r="E67" i="2"/>
  <c r="D61" i="2"/>
  <c r="F49" i="2"/>
  <c r="G45" i="2"/>
  <c r="F46" i="2"/>
  <c r="D49" i="2"/>
  <c r="G68" i="2"/>
  <c r="G51" i="2"/>
  <c r="F63" i="2"/>
  <c r="E50" i="2"/>
  <c r="F56" i="2"/>
  <c r="E64" i="2"/>
  <c r="G59" i="2"/>
  <c r="D50" i="2"/>
  <c r="G54" i="2"/>
  <c r="E45" i="2"/>
  <c r="D54" i="2"/>
  <c r="D45" i="2"/>
  <c r="G57" i="2"/>
  <c r="G62" i="2"/>
  <c r="F54" i="2"/>
  <c r="G56" i="2"/>
  <c r="G52" i="2"/>
  <c r="G47" i="2"/>
  <c r="F51" i="2"/>
  <c r="E53" i="2"/>
  <c r="D53" i="2"/>
  <c r="F60" i="2"/>
  <c r="G67" i="2"/>
  <c r="D62" i="2"/>
  <c r="F47" i="2"/>
  <c r="F66" i="2"/>
  <c r="E48" i="2"/>
  <c r="F67" i="2"/>
  <c r="G58" i="2"/>
  <c r="G50" i="2"/>
  <c r="D67" i="2"/>
  <c r="D58" i="2"/>
  <c r="F50" i="2"/>
  <c r="D60" i="2"/>
  <c r="E63" i="2"/>
  <c r="D63" i="2"/>
  <c r="F58" i="2"/>
  <c r="E59" i="2"/>
  <c r="F55" i="2"/>
  <c r="E65" i="2"/>
  <c r="E46" i="2"/>
  <c r="G64" i="2"/>
  <c r="G53" i="2"/>
  <c r="F57" i="2"/>
  <c r="D37" i="2"/>
  <c r="E37" i="2"/>
  <c r="G37" i="2"/>
  <c r="F37" i="2"/>
  <c r="D29" i="3"/>
  <c r="D71" i="2" l="1"/>
  <c r="F71" i="2"/>
  <c r="G71" i="2"/>
  <c r="G4" i="3"/>
  <c r="G5" i="3" s="1"/>
  <c r="E71" i="2"/>
  <c r="H4" i="3" l="1"/>
  <c r="H5" i="3" s="1"/>
  <c r="J4" i="3"/>
  <c r="J5" i="3" s="1"/>
  <c r="K4" i="3" l="1"/>
  <c r="K5" i="3"/>
  <c r="D10" i="3"/>
  <c r="D8" i="3" l="1"/>
  <c r="D9" i="3"/>
  <c r="D7" i="3"/>
  <c r="D6" i="3"/>
  <c r="D5" i="3"/>
  <c r="D4" i="3"/>
  <c r="D11" i="3"/>
  <c r="D12" i="3" l="1"/>
  <c r="D30" i="3" s="1"/>
</calcChain>
</file>

<file path=xl/sharedStrings.xml><?xml version="1.0" encoding="utf-8"?>
<sst xmlns="http://schemas.openxmlformats.org/spreadsheetml/2006/main" count="410" uniqueCount="55">
  <si>
    <t>Level of Care</t>
  </si>
  <si>
    <t>Entitlements</t>
  </si>
  <si>
    <t>GR</t>
  </si>
  <si>
    <t>Other</t>
  </si>
  <si>
    <t>TANF</t>
  </si>
  <si>
    <t>Grand Total</t>
  </si>
  <si>
    <t>Basic</t>
  </si>
  <si>
    <t>Moderate</t>
  </si>
  <si>
    <t>Specialized</t>
  </si>
  <si>
    <t>Intensive</t>
  </si>
  <si>
    <t>Intensive Plus</t>
  </si>
  <si>
    <t>Psychiatric</t>
  </si>
  <si>
    <t>Emergency Shelters</t>
  </si>
  <si>
    <t>TEP</t>
  </si>
  <si>
    <t>Child Specific Contracts</t>
  </si>
  <si>
    <t>Catchment Area</t>
  </si>
  <si>
    <t>1</t>
  </si>
  <si>
    <t>Blended</t>
  </si>
  <si>
    <t>Exceptional</t>
  </si>
  <si>
    <t>2</t>
  </si>
  <si>
    <t>3B</t>
  </si>
  <si>
    <t>8A</t>
  </si>
  <si>
    <t>Date</t>
  </si>
  <si>
    <t>Emergency Shelter</t>
  </si>
  <si>
    <t>IPTP</t>
  </si>
  <si>
    <t>Child Specific</t>
  </si>
  <si>
    <t>IV-E</t>
  </si>
  <si>
    <t>Non IV-E</t>
  </si>
  <si>
    <t>PAC</t>
  </si>
  <si>
    <t>26300</t>
  </si>
  <si>
    <t>26400</t>
  </si>
  <si>
    <t>Fiscal Year</t>
  </si>
  <si>
    <t>System</t>
  </si>
  <si>
    <t>Catchment</t>
  </si>
  <si>
    <t>Legacy</t>
  </si>
  <si>
    <t>Statewide</t>
  </si>
  <si>
    <t>Child FTEs</t>
  </si>
  <si>
    <t>Legacy Subtotal</t>
  </si>
  <si>
    <t>CBC Subtotal</t>
  </si>
  <si>
    <t>Alias</t>
  </si>
  <si>
    <t>Total</t>
  </si>
  <si>
    <t>CBC*</t>
  </si>
  <si>
    <t>8B</t>
  </si>
  <si>
    <t>3E</t>
  </si>
  <si>
    <t>3B/3W</t>
  </si>
  <si>
    <t>Note: Data compiled from CAPPS as of 1/09/2024
*CBC Blended and Exceptional Care expenses are not reported by Placement Type (e.g., CPA, RTC). Thus CBC values represent the total expenses by catchment and rate (i.e., Blended &amp; Exceptional) multiplied by the proportion of relevant days paid with a Living Arrangment of Basic Child Care, Emergency Shelter, Residential Treatment Center, or IPTP.</t>
  </si>
  <si>
    <t>Note: Data compiled from IMPACT as of 12/31/2023.
*CBC Blended and Exceptional Care days are not reported by Placement Type (e.g., CPA, RTC). Thus CBC values represent days paid with a Living Arrangment of Basic Child Care, Emergency Shelter, Residential Treatment Center, or IPTP.</t>
  </si>
  <si>
    <t>4</t>
  </si>
  <si>
    <t>5</t>
  </si>
  <si>
    <t>FY 2024 Q1 Congregate Care Expenses by MOF</t>
  </si>
  <si>
    <t>FY 2024 Q1 Congregate Care Child FTEs</t>
  </si>
  <si>
    <t>*FY23 Statewide Average used for 3E</t>
  </si>
  <si>
    <t>*FY23 Statewide Average used for 4</t>
  </si>
  <si>
    <t>*FY23 Statewide Average used for 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</si>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</sst>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\-yy;@"/>
    <numFmt numFmtId="166" formatCode="0.0%"/>
    <numFmt numFmtId="167" formatCode="_(* #,##0_);_(* \(#,##0\);_(* &quot;-&quot;??_);_(@_)"/>
  </numFmts>
  <fonts count="9">
    <font>
      <sz val="12"/>
      <color theme="1"/>
      <name val="Verdana"/>
      <family val="2"/>
    </font>
    <font>
      <sz val="12"/>
      <color theme="1"/>
      <name val="Verdana"/>
      <family val="2"/>
    </font>
    <font>
      <sz val="10"/>
      <color theme="0"/>
      <name val="SAS Monospace"/>
      <family val="3"/>
    </font>
    <font>
      <sz val="10"/>
      <color theme="1"/>
      <name val="SAS Monospace"/>
      <family val="3"/>
    </font>
    <font>
      <b/>
      <sz val="10"/>
      <color theme="0"/>
      <name val="SAS Monospace"/>
      <family val="3"/>
    </font>
    <font>
      <sz val="10"/>
      <color theme="4" tint="-0.499984740745262"/>
      <name val="SAS Monospace"/>
      <family val="3"/>
    </font>
    <font>
      <u/>
      <sz val="10"/>
      <color theme="0"/>
      <name val="SAS Monospace"/>
      <family val="3"/>
    </font>
    <font>
      <b/>
      <sz val="10"/>
      <color theme="1"/>
      <name val="SAS Monospace"/>
      <family val="3"/>
    </font>
    <font>
      <sz val="10"/>
      <name val="SAS Monospace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5" fontId="2" fillId="2" borderId="4" xfId="0" applyNumberFormat="1" applyFont="1" applyFill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5" fontId="2" fillId="2" borderId="6" xfId="0" applyNumberFormat="1" applyFont="1" applyFill="1" applyBorder="1"/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3" fillId="0" borderId="0" xfId="0" applyFont="1"/>
    <xf numFmtId="164" fontId="3" fillId="0" borderId="0" xfId="2" applyNumberFormat="1" applyFont="1"/>
    <xf numFmtId="0" fontId="3" fillId="2" borderId="0" xfId="0" applyFont="1" applyFill="1"/>
    <xf numFmtId="0" fontId="5" fillId="3" borderId="0" xfId="0" applyFont="1" applyFill="1"/>
    <xf numFmtId="164" fontId="5" fillId="3" borderId="0" xfId="2" applyNumberFormat="1" applyFont="1" applyFill="1"/>
    <xf numFmtId="0" fontId="2" fillId="2" borderId="1" xfId="0" applyFont="1" applyFill="1" applyBorder="1"/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6" fontId="3" fillId="0" borderId="10" xfId="3" applyNumberFormat="1" applyFont="1" applyBorder="1"/>
    <xf numFmtId="167" fontId="3" fillId="0" borderId="9" xfId="0" applyNumberFormat="1" applyFont="1" applyBorder="1"/>
    <xf numFmtId="167" fontId="3" fillId="0" borderId="10" xfId="0" applyNumberFormat="1" applyFont="1" applyBorder="1"/>
    <xf numFmtId="167" fontId="3" fillId="0" borderId="11" xfId="0" applyNumberFormat="1" applyFont="1" applyBorder="1"/>
    <xf numFmtId="0" fontId="2" fillId="2" borderId="1" xfId="0" applyFont="1" applyFill="1" applyBorder="1" applyAlignment="1">
      <alignment horizontal="center"/>
    </xf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0" xfId="0" applyNumberFormat="1" applyFont="1"/>
    <xf numFmtId="0" fontId="2" fillId="2" borderId="0" xfId="0" applyFont="1" applyFill="1"/>
    <xf numFmtId="0" fontId="2" fillId="2" borderId="0" xfId="0" applyFont="1" applyFill="1" applyBorder="1" applyAlignment="1">
      <alignment vertical="center"/>
    </xf>
    <xf numFmtId="167" fontId="3" fillId="0" borderId="13" xfId="1" applyNumberFormat="1" applyFont="1" applyBorder="1"/>
    <xf numFmtId="167" fontId="3" fillId="0" borderId="14" xfId="1" applyNumberFormat="1" applyFont="1" applyBorder="1"/>
    <xf numFmtId="167" fontId="3" fillId="0" borderId="14" xfId="0" applyNumberFormat="1" applyFont="1" applyBorder="1"/>
    <xf numFmtId="167" fontId="7" fillId="0" borderId="15" xfId="0" applyNumberFormat="1" applyFont="1" applyBorder="1"/>
    <xf numFmtId="167" fontId="7" fillId="0" borderId="12" xfId="0" applyNumberFormat="1" applyFont="1" applyBorder="1"/>
    <xf numFmtId="164" fontId="8" fillId="0" borderId="0" xfId="2" applyNumberFormat="1" applyFont="1" applyFill="1"/>
    <xf numFmtId="164" fontId="3" fillId="0" borderId="0" xfId="2" applyNumberFormat="1" applyFont="1" applyBorder="1"/>
    <xf numFmtId="0" fontId="4" fillId="2" borderId="6" xfId="0" applyFont="1" applyFill="1" applyBorder="1"/>
    <xf numFmtId="164" fontId="7" fillId="0" borderId="7" xfId="2" applyNumberFormat="1" applyFont="1" applyBorder="1"/>
    <xf numFmtId="164" fontId="7" fillId="0" borderId="8" xfId="2" applyNumberFormat="1" applyFont="1" applyBorder="1"/>
    <xf numFmtId="164" fontId="7" fillId="0" borderId="5" xfId="2" applyNumberFormat="1" applyFont="1" applyBorder="1"/>
    <xf numFmtId="0" fontId="4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6" fontId="3" fillId="0" borderId="11" xfId="3" applyNumberFormat="1" applyFont="1" applyBorder="1"/>
    <xf numFmtId="0" fontId="5" fillId="3" borderId="0" xfId="0" quotePrefix="1" applyFont="1" applyFill="1"/>
    <xf numFmtId="166" fontId="3" fillId="4" borderId="10" xfId="3" applyNumberFormat="1" applyFont="1" applyFill="1" applyBorder="1"/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0">
    <dxf>
      <font>
        <strike val="0"/>
        <outline val="0"/>
        <shadow val="0"/>
        <u val="none"/>
        <vertAlign val="baseline"/>
        <sz val="10"/>
        <color auto="1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SAS Monospace"/>
        <family val="3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0"/>
        <name val="SAS Monospace"/>
        <family val="3"/>
        <scheme val="none"/>
      </font>
      <fill>
        <patternFill patternType="solid">
          <fgColor indexed="64"/>
          <bgColor theme="4" tint="-0.499984740745262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vertAlign val="baseline"/>
        <sz val="10"/>
        <name val="SAS Monospace"/>
        <family val="3"/>
        <scheme val="none"/>
      </font>
      <fill>
        <patternFill patternType="solid">
          <fgColor indexed="64"/>
          <bgColor theme="4" tint="-0.49998474074526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color theme="4" tint="-0.499984740745262"/>
        <name val="SAS Monospace"/>
        <family val="3"/>
        <scheme val="none"/>
      </font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SAS Monospace"/>
        <family val="3"/>
        <scheme val="none"/>
      </font>
      <fill>
        <patternFill patternType="solid">
          <fgColor indexed="64"/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715FCA-A975-435D-8F17-FF343D1DF0F7}" name="Table1" displayName="Table1" ref="A1:F10" totalsRowShown="0" headerRowDxfId="29" dataDxfId="28">
  <autoFilter ref="A1:F10" xr:uid="{53C5648B-BB8B-498D-8B8C-447B6ADEBF45}"/>
  <tableColumns count="6">
    <tableColumn id="1" xr3:uid="{40E2AB0F-73CF-484A-914A-6502D1B0EADF}" name="Level of Care" dataDxfId="27"/>
    <tableColumn id="2" xr3:uid="{629AD809-0F95-4E9F-8786-D43D6F809C07}" name="Entitlements" dataDxfId="26" dataCellStyle="Currency"/>
    <tableColumn id="3" xr3:uid="{40C04162-B542-467E-8774-527144FB4006}" name="GR" dataDxfId="25" dataCellStyle="Currency"/>
    <tableColumn id="4" xr3:uid="{6B794E06-1416-4573-9544-EA33225D4867}" name="Other" dataDxfId="24" dataCellStyle="Currency"/>
    <tableColumn id="5" xr3:uid="{D565F2E9-F83A-4B93-93DC-9CF21EA33925}" name="TANF" dataDxfId="23" dataCellStyle="Currency"/>
    <tableColumn id="6" xr3:uid="{6120090A-ADA3-47DB-8041-F2C1A291684A}" name="Grand Total" dataDxfId="22" dataCellStyle="Currency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4A3027-FD87-4994-86BD-9D89C0800092}" name="Table2" displayName="Table2" ref="A1:I33" totalsRowShown="0" headerRowDxfId="21" dataDxfId="20">
  <autoFilter ref="A1:I33" xr:uid="{B6FE232C-B17C-4288-B6CF-118F3FC5ABD4}"/>
  <tableColumns count="9">
    <tableColumn id="1" xr3:uid="{6819414E-D888-4B6E-9F1F-EFC25F75DAD2}" name="Catchment Area" dataDxfId="19"/>
    <tableColumn id="2" xr3:uid="{3A937878-22C9-41E8-B894-603E34896248}" name="Level of Care" dataDxfId="18"/>
    <tableColumn id="8" xr3:uid="{C84B3EFC-5E5D-4D6C-9C13-65433164C17B}" name="PAC" dataDxfId="17"/>
    <tableColumn id="3" xr3:uid="{785345B4-CF59-4AEA-9BC2-58BCA7D7F659}" name="Entitlements" dataDxfId="16" dataCellStyle="Currency"/>
    <tableColumn id="4" xr3:uid="{132CE1B2-68EA-40BA-94FA-A1269956D10E}" name="GR" dataDxfId="15" dataCellStyle="Currency"/>
    <tableColumn id="5" xr3:uid="{A507BEBF-D184-401D-8A5C-F723DCD92E5C}" name="TANF" dataDxfId="14" dataCellStyle="Currency"/>
    <tableColumn id="6" xr3:uid="{1BF40730-21EA-4182-8EFD-E5A103C5F950}" name="Grand Total" dataDxfId="13" dataCellStyle="Currency"/>
    <tableColumn id="9" xr3:uid="{A873D38D-AD66-4224-8C59-471CBF5AF301}" name="IV-E" dataDxfId="12" dataCellStyle="Currency">
      <calculatedColumnFormula>IF(Table2[[#This Row],[PAC]]="26300","IV-E","Non IV-E")</calculatedColumnFormula>
    </tableColumn>
    <tableColumn id="10" xr3:uid="{42837D80-E3AD-4C7E-9C09-6B67BCE69BD2}" name="Alias" dataDxfId="11" dataCellStyle="Currency">
      <calculatedColumnFormula>_xlfn.CONCAT(Table2[[#This Row],[Catchment Area]],Table2[[#This Row],[Level of Care]],Table2[[#This Row],[IV-E]])</calculatedColumnFormula>
    </tableColumn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21F20B-5D1B-4870-8917-6DF96033C971}" name="Table24" displayName="Table24" ref="A36:I68" totalsRowShown="0" headerRowDxfId="10" dataDxfId="9">
  <autoFilter ref="A36:I68" xr:uid="{A135B29D-6633-4078-8949-279BE5124372}"/>
  <tableColumns count="9">
    <tableColumn id="1" xr3:uid="{40E64EA2-B45B-452B-8032-FD7B63B9DF20}" name="Catchment Area" dataDxfId="8"/>
    <tableColumn id="2" xr3:uid="{936B47F5-A7DB-4EC9-8AAE-A61383BE2677}" name="Level of Care" dataDxfId="7"/>
    <tableColumn id="8" xr3:uid="{D471441D-06FD-4C73-BF11-6D270EA4364D}" name="PAC" dataDxfId="6"/>
    <tableColumn id="3" xr3:uid="{3ADECF3E-9E3B-430C-8548-4845B303DC19}" name="Entitlements" dataDxfId="5" dataCellStyle="Currency">
      <calculatedColumnFormula>IFERROR(INDEX(Table2[Entitlements],MATCH(Table24[[#This Row],[Alias]:[Alias]],Table2[[Alias]:[Alias]],0))*INDEX($AD$5:$BI$5,1,MATCH(Table24[[#This Row],[Alias]:[Alias]],$AD$4:$BI$4,0)),0)</calculatedColumnFormula>
    </tableColumn>
    <tableColumn id="4" xr3:uid="{7396C4A6-0F05-42BF-AF4F-5957622B7E69}" name="GR" dataDxfId="4" dataCellStyle="Currency">
      <calculatedColumnFormula>IFERROR(INDEX(Table2[GR],MATCH(Table24[[#This Row],[Alias]:[Alias]],Table2[[Alias]:[Alias]],0))*INDEX($AD$5:$BI$5,1,MATCH(Table24[[#This Row],[Alias]:[Alias]],$AD$4:$BI$4,0)),0)</calculatedColumnFormula>
    </tableColumn>
    <tableColumn id="5" xr3:uid="{38A2FA58-48AE-4A78-8633-F6F246E7D0D8}" name="TANF" dataDxfId="3" dataCellStyle="Currency">
      <calculatedColumnFormula>IFERROR(INDEX(Table2[TANF],MATCH(Table24[[#This Row],[Alias]:[Alias]],Table2[[Alias]:[Alias]],0))*INDEX($AD$5:$BI$5,1,MATCH(Table24[[#This Row],[Alias]:[Alias]],$AD$4:$BI$4,0)),0)</calculatedColumnFormula>
    </tableColumn>
    <tableColumn id="6" xr3:uid="{3705BE40-5D9D-448E-84CD-76D609EDF870}" name="Grand Total" dataDxfId="2" dataCellStyle="Currency">
      <calculatedColumnFormula>IFERROR(INDEX(Table2[Grand Total],MATCH(Table24[[#This Row],[Alias]:[Alias]],Table2[[Alias]:[Alias]],0))*INDEX($AD$5:$BI$5,1,MATCH(Table24[[#This Row],[Alias]:[Alias]],$AD$4:$BI$4,0)),0)</calculatedColumnFormula>
    </tableColumn>
    <tableColumn id="9" xr3:uid="{ABA7A59E-6951-469B-B93C-C5192244FD52}" name="IV-E" dataDxfId="1" dataCellStyle="Currency">
      <calculatedColumnFormula>IF(Table24[[#This Row],[PAC]]="26300","IV-E","Non IV-E")</calculatedColumnFormula>
    </tableColumn>
    <tableColumn id="10" xr3:uid="{DD612DAD-0981-4AC3-B9D0-2644FA13BA62}" name="Alias" dataDxfId="0" dataCellStyle="Currency">
      <calculatedColumnFormula>_xlfn.CONCAT(Table24[[#This Row],[Catchment Area]],Table24[[#This Row],[Level of Care]],Table24[[#This Row],[IV-E]])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9232-6726-4893-9655-CBB447942DB5}">
  <dimension ref="A1:K36"/>
  <sheetViews>
    <sheetView tabSelected="1" zoomScaleNormal="100" workbookViewId="0">
      <selection sqref="A1:D1"/>
    </sheetView>
  </sheetViews>
  <sheetFormatPr defaultColWidth="8.796875" defaultRowHeight="13.5"/>
  <cols>
    <col min="1" max="1" width="8.796875" style="15"/>
    <col min="2" max="2" width="9.69921875" style="15" bestFit="1" customWidth="1"/>
    <col min="3" max="3" width="20.3984375" style="15" bestFit="1" customWidth="1"/>
    <col min="4" max="5" width="8.796875" style="15"/>
    <col min="6" max="6" width="10.796875" style="15" bestFit="1" customWidth="1"/>
    <col min="7" max="11" width="12.69921875" style="15" customWidth="1"/>
    <col min="12" max="16384" width="8.796875" style="15"/>
  </cols>
  <sheetData>
    <row r="1" spans="1:11">
      <c r="A1" s="66" t="s">
        <v>50</v>
      </c>
      <c r="B1" s="67"/>
      <c r="C1" s="67"/>
      <c r="D1" s="68"/>
      <c r="F1" s="66" t="s">
        <v>49</v>
      </c>
      <c r="G1" s="67"/>
      <c r="H1" s="67"/>
      <c r="I1" s="67"/>
      <c r="J1" s="67"/>
      <c r="K1" s="68"/>
    </row>
    <row r="2" spans="1:11" ht="14.25" thickBot="1">
      <c r="A2" s="25" t="s">
        <v>32</v>
      </c>
      <c r="B2" s="26" t="s">
        <v>33</v>
      </c>
      <c r="C2" s="26" t="s">
        <v>0</v>
      </c>
      <c r="D2" s="27" t="s">
        <v>36</v>
      </c>
      <c r="F2" s="25" t="s">
        <v>32</v>
      </c>
      <c r="G2" s="26" t="s">
        <v>1</v>
      </c>
      <c r="H2" s="26" t="s">
        <v>2</v>
      </c>
      <c r="I2" s="26" t="s">
        <v>3</v>
      </c>
      <c r="J2" s="26" t="s">
        <v>4</v>
      </c>
      <c r="K2" s="51" t="s">
        <v>40</v>
      </c>
    </row>
    <row r="3" spans="1:11">
      <c r="A3" s="69" t="s">
        <v>34</v>
      </c>
      <c r="B3" s="65" t="s">
        <v>35</v>
      </c>
      <c r="C3" s="39" t="s">
        <v>6</v>
      </c>
      <c r="D3" s="40">
        <f>INDEX('Legacy Data'!$I$16:$Q$16,1,MATCH(Summary!$C3,'Legacy Data'!$I$15:$Q$15,0))</f>
        <v>162.1274731920214</v>
      </c>
      <c r="F3" s="24" t="s">
        <v>34</v>
      </c>
      <c r="G3" s="46">
        <f>INDEX('Legacy Data'!$B$13:$E$13,1,MATCH(Summary!G$2,'Legacy Data'!$B$12:$E$12,0))</f>
        <v>784378.89</v>
      </c>
      <c r="H3" s="46">
        <f>INDEX('Legacy Data'!$B$13:$E$13,1,MATCH(Summary!H$2,'Legacy Data'!$B$12:$E$12,0))</f>
        <v>28017765.09</v>
      </c>
      <c r="I3" s="46">
        <f>INDEX('Legacy Data'!$B$13:$E$13,1,MATCH(Summary!I$2,'Legacy Data'!$B$12:$E$12,0))</f>
        <v>0</v>
      </c>
      <c r="J3" s="46">
        <f>INDEX('Legacy Data'!$B$13:$E$13,1,MATCH(Summary!J$2,'Legacy Data'!$B$12:$E$12,0))</f>
        <v>8637878.6099999994</v>
      </c>
      <c r="K3" s="50">
        <f>SUM(G3:J3)</f>
        <v>37440022.590000004</v>
      </c>
    </row>
    <row r="4" spans="1:11">
      <c r="A4" s="69"/>
      <c r="B4" s="65"/>
      <c r="C4" s="39" t="s">
        <v>7</v>
      </c>
      <c r="D4" s="41">
        <f>INDEX('Legacy Data'!$I$16:$Q$16,1,MATCH(Summary!$C4,'Legacy Data'!$I$15:$Q$15,0))</f>
        <v>124.34098451842345</v>
      </c>
      <c r="F4" s="24" t="s">
        <v>41</v>
      </c>
      <c r="G4" s="46">
        <f>IFERROR(INDEX('CBC Data'!$D$71:$F$71,1,MATCH(Summary!G$2,'CBC Data'!$D$70:$F$70,0)),0)</f>
        <v>441474.6816246247</v>
      </c>
      <c r="H4" s="46">
        <f>IFERROR(INDEX('CBC Data'!$D$71:$F$71,1,MATCH(Summary!H$2,'CBC Data'!$D$70:$F$70,0)),0)</f>
        <v>5196943.960208755</v>
      </c>
      <c r="I4" s="46">
        <f>IFERROR(INDEX('CBC Data'!$D$71:$F$71,1,MATCH(Summary!I$2,'CBC Data'!$D$70:$F$70,0)),0)</f>
        <v>0</v>
      </c>
      <c r="J4" s="46">
        <f>IFERROR(INDEX('CBC Data'!$D$71:$F$71,1,MATCH(Summary!J$2,'CBC Data'!$D$70:$F$70,0)),0)</f>
        <v>3651515.530523546</v>
      </c>
      <c r="K4" s="50">
        <f t="shared" ref="K4:K5" si="0">SUM(G4:J4)</f>
        <v>9289934.1723569259</v>
      </c>
    </row>
    <row r="5" spans="1:11" ht="14.25" thickBot="1">
      <c r="A5" s="69"/>
      <c r="B5" s="65"/>
      <c r="C5" s="39" t="s">
        <v>8</v>
      </c>
      <c r="D5" s="41">
        <f>INDEX('Legacy Data'!$I$16:$Q$16,1,MATCH(Summary!$C5,'Legacy Data'!$I$15:$Q$15,0))</f>
        <v>494.72232624223238</v>
      </c>
      <c r="F5" s="47" t="s">
        <v>40</v>
      </c>
      <c r="G5" s="48">
        <f>SUM(G3:G4)</f>
        <v>1225853.5716246248</v>
      </c>
      <c r="H5" s="48">
        <f t="shared" ref="H5:J5" si="1">SUM(H3:H4)</f>
        <v>33214709.050208755</v>
      </c>
      <c r="I5" s="48">
        <f t="shared" si="1"/>
        <v>0</v>
      </c>
      <c r="J5" s="48">
        <f t="shared" si="1"/>
        <v>12289394.140523545</v>
      </c>
      <c r="K5" s="49">
        <f t="shared" si="0"/>
        <v>46729956.762356922</v>
      </c>
    </row>
    <row r="6" spans="1:11" ht="15" customHeight="1">
      <c r="A6" s="69"/>
      <c r="B6" s="65"/>
      <c r="C6" s="39" t="s">
        <v>9</v>
      </c>
      <c r="D6" s="41">
        <f>INDEX('Legacy Data'!$I$16:$Q$16,1,MATCH(Summary!$C6,'Legacy Data'!$I$15:$Q$15,0))</f>
        <v>156.45225949173621</v>
      </c>
      <c r="F6" s="57" t="s">
        <v>45</v>
      </c>
      <c r="G6" s="57"/>
      <c r="H6" s="57"/>
      <c r="I6" s="57"/>
      <c r="J6" s="57"/>
      <c r="K6" s="57"/>
    </row>
    <row r="7" spans="1:11">
      <c r="A7" s="69"/>
      <c r="B7" s="65"/>
      <c r="C7" s="39" t="s">
        <v>10</v>
      </c>
      <c r="D7" s="41">
        <f>INDEX('Legacy Data'!$I$16:$Q$16,1,MATCH(Summary!$C7,'Legacy Data'!$I$15:$Q$15,0))</f>
        <v>0.30810369844208441</v>
      </c>
      <c r="F7" s="58"/>
      <c r="G7" s="58"/>
      <c r="H7" s="58"/>
      <c r="I7" s="58"/>
      <c r="J7" s="58"/>
      <c r="K7" s="58"/>
    </row>
    <row r="8" spans="1:11">
      <c r="A8" s="69"/>
      <c r="B8" s="65"/>
      <c r="C8" s="39" t="s">
        <v>24</v>
      </c>
      <c r="D8" s="41">
        <f>INDEX('Legacy Data'!$I$16:$Q$16,1,MATCH(Summary!$C8,'Legacy Data'!$I$15:$Q$15,0))</f>
        <v>1.6071648007236827</v>
      </c>
      <c r="F8" s="58"/>
      <c r="G8" s="58"/>
      <c r="H8" s="58"/>
      <c r="I8" s="58"/>
      <c r="J8" s="58"/>
      <c r="K8" s="58"/>
    </row>
    <row r="9" spans="1:11">
      <c r="A9" s="69"/>
      <c r="B9" s="65"/>
      <c r="C9" s="39" t="s">
        <v>23</v>
      </c>
      <c r="D9" s="41">
        <f>INDEX('Legacy Data'!$I$16:$Q$16,1,MATCH(Summary!$C9,'Legacy Data'!$I$15:$Q$15,0))</f>
        <v>292.19376285791253</v>
      </c>
      <c r="F9" s="58"/>
      <c r="G9" s="58"/>
      <c r="H9" s="58"/>
      <c r="I9" s="58"/>
      <c r="J9" s="58"/>
      <c r="K9" s="58"/>
    </row>
    <row r="10" spans="1:11">
      <c r="A10" s="69"/>
      <c r="B10" s="65"/>
      <c r="C10" s="39" t="s">
        <v>13</v>
      </c>
      <c r="D10" s="41">
        <f>INDEX('Legacy Data'!$I$16:$Q$16,1,MATCH(Summary!$C10,'Legacy Data'!$I$15:$Q$15,0))</f>
        <v>19.986236559139783</v>
      </c>
      <c r="F10" s="58"/>
      <c r="G10" s="58"/>
      <c r="H10" s="58"/>
      <c r="I10" s="58"/>
      <c r="J10" s="58"/>
      <c r="K10" s="58"/>
    </row>
    <row r="11" spans="1:11">
      <c r="A11" s="69"/>
      <c r="B11" s="65"/>
      <c r="C11" s="39" t="s">
        <v>25</v>
      </c>
      <c r="D11" s="41">
        <f>INDEX('Legacy Data'!$I$16:$Q$16,1,MATCH(Summary!$C11,'Legacy Data'!$I$15:$Q$15,0))</f>
        <v>341.48427062740922</v>
      </c>
      <c r="F11" s="58"/>
      <c r="G11" s="58"/>
      <c r="H11" s="58"/>
      <c r="I11" s="58"/>
      <c r="J11" s="58"/>
      <c r="K11" s="58"/>
    </row>
    <row r="12" spans="1:11" ht="14.25" thickBot="1">
      <c r="A12" s="59" t="s">
        <v>37</v>
      </c>
      <c r="B12" s="60"/>
      <c r="C12" s="60"/>
      <c r="D12" s="43">
        <f>SUM(D3:D11)</f>
        <v>1593.2225819880407</v>
      </c>
    </row>
    <row r="13" spans="1:11">
      <c r="A13" s="69" t="s">
        <v>41</v>
      </c>
      <c r="B13" s="65">
        <v>1</v>
      </c>
      <c r="C13" s="39" t="s">
        <v>17</v>
      </c>
      <c r="D13" s="42">
        <f>'CBC Data'!L$18</f>
        <v>225.4351703225806</v>
      </c>
    </row>
    <row r="14" spans="1:11">
      <c r="A14" s="69"/>
      <c r="B14" s="65"/>
      <c r="C14" s="39" t="s">
        <v>18</v>
      </c>
      <c r="D14" s="42">
        <f>'CBC Data'!M$18</f>
        <v>13.487234587813623</v>
      </c>
    </row>
    <row r="15" spans="1:11">
      <c r="A15" s="69"/>
      <c r="B15" s="65">
        <v>2</v>
      </c>
      <c r="C15" s="39" t="s">
        <v>17</v>
      </c>
      <c r="D15" s="42">
        <f>'CBC Data'!N$18</f>
        <v>93.435415125448017</v>
      </c>
    </row>
    <row r="16" spans="1:11">
      <c r="A16" s="69"/>
      <c r="B16" s="65"/>
      <c r="C16" s="39" t="s">
        <v>18</v>
      </c>
      <c r="D16" s="42">
        <f>'CBC Data'!O$18</f>
        <v>16.644044336917563</v>
      </c>
    </row>
    <row r="17" spans="1:4">
      <c r="A17" s="69"/>
      <c r="B17" s="65" t="s">
        <v>44</v>
      </c>
      <c r="C17" s="39" t="s">
        <v>17</v>
      </c>
      <c r="D17" s="42">
        <f>'CBC Data'!P$18</f>
        <v>189.89106229390677</v>
      </c>
    </row>
    <row r="18" spans="1:4">
      <c r="A18" s="69"/>
      <c r="B18" s="65"/>
      <c r="C18" s="39" t="s">
        <v>18</v>
      </c>
      <c r="D18" s="42">
        <f>'CBC Data'!Q$18</f>
        <v>26.140047706093196</v>
      </c>
    </row>
    <row r="19" spans="1:4">
      <c r="A19" s="69"/>
      <c r="B19" s="65" t="s">
        <v>43</v>
      </c>
      <c r="C19" s="39" t="s">
        <v>17</v>
      </c>
      <c r="D19" s="42">
        <f>'CBC Data'!R$18</f>
        <v>4.8168458781362</v>
      </c>
    </row>
    <row r="20" spans="1:4">
      <c r="A20" s="69"/>
      <c r="B20" s="65"/>
      <c r="C20" s="39" t="s">
        <v>18</v>
      </c>
      <c r="D20" s="42">
        <f>'CBC Data'!S$18</f>
        <v>0</v>
      </c>
    </row>
    <row r="21" spans="1:4">
      <c r="A21" s="69"/>
      <c r="B21" s="65">
        <v>4</v>
      </c>
      <c r="C21" s="39" t="s">
        <v>17</v>
      </c>
      <c r="D21" s="42">
        <f>'CBC Data'!T$18</f>
        <v>6.9226188888888887</v>
      </c>
    </row>
    <row r="22" spans="1:4">
      <c r="A22" s="69"/>
      <c r="B22" s="65"/>
      <c r="C22" s="39" t="s">
        <v>18</v>
      </c>
      <c r="D22" s="42">
        <f>'CBC Data'!U$18</f>
        <v>0</v>
      </c>
    </row>
    <row r="23" spans="1:4">
      <c r="A23" s="69"/>
      <c r="B23" s="65">
        <v>5</v>
      </c>
      <c r="C23" s="39" t="s">
        <v>17</v>
      </c>
      <c r="D23" s="42">
        <f>'CBC Data'!V$18</f>
        <v>0</v>
      </c>
    </row>
    <row r="24" spans="1:4">
      <c r="A24" s="69"/>
      <c r="B24" s="65"/>
      <c r="C24" s="39" t="s">
        <v>18</v>
      </c>
      <c r="D24" s="42">
        <f>'CBC Data'!W$18</f>
        <v>0</v>
      </c>
    </row>
    <row r="25" spans="1:4">
      <c r="A25" s="69"/>
      <c r="B25" s="65" t="s">
        <v>21</v>
      </c>
      <c r="C25" s="39" t="s">
        <v>17</v>
      </c>
      <c r="D25" s="42">
        <f>'CBC Data'!X$18</f>
        <v>0</v>
      </c>
    </row>
    <row r="26" spans="1:4">
      <c r="A26" s="69"/>
      <c r="B26" s="65"/>
      <c r="C26" s="39" t="s">
        <v>18</v>
      </c>
      <c r="D26" s="42">
        <f>'CBC Data'!Y$18</f>
        <v>0</v>
      </c>
    </row>
    <row r="27" spans="1:4">
      <c r="A27" s="69"/>
      <c r="B27" s="65" t="s">
        <v>42</v>
      </c>
      <c r="C27" s="39" t="s">
        <v>17</v>
      </c>
      <c r="D27" s="42">
        <f>'CBC Data'!Z$18</f>
        <v>158.13205265232978</v>
      </c>
    </row>
    <row r="28" spans="1:4">
      <c r="A28" s="69"/>
      <c r="B28" s="65"/>
      <c r="C28" s="39" t="s">
        <v>18</v>
      </c>
      <c r="D28" s="42">
        <f>'CBC Data'!AA$18</f>
        <v>25.42471845878136</v>
      </c>
    </row>
    <row r="29" spans="1:4" ht="14.25" thickBot="1">
      <c r="A29" s="61" t="s">
        <v>38</v>
      </c>
      <c r="B29" s="62"/>
      <c r="C29" s="62"/>
      <c r="D29" s="43">
        <f>SUM(D13:D28)</f>
        <v>760.32921025089604</v>
      </c>
    </row>
    <row r="30" spans="1:4" ht="14.25" thickBot="1">
      <c r="A30" s="63" t="s">
        <v>5</v>
      </c>
      <c r="B30" s="64"/>
      <c r="C30" s="64"/>
      <c r="D30" s="44">
        <f>SUM(D29,D12)</f>
        <v>2353.5517922389367</v>
      </c>
    </row>
    <row r="31" spans="1:4" ht="15" customHeight="1">
      <c r="A31" s="57" t="s">
        <v>46</v>
      </c>
      <c r="B31" s="57"/>
      <c r="C31" s="57"/>
      <c r="D31" s="57"/>
    </row>
    <row r="32" spans="1:4">
      <c r="A32" s="58"/>
      <c r="B32" s="58"/>
      <c r="C32" s="58"/>
      <c r="D32" s="58"/>
    </row>
    <row r="33" spans="1:4">
      <c r="A33" s="58"/>
      <c r="B33" s="58"/>
      <c r="C33" s="58"/>
      <c r="D33" s="58"/>
    </row>
    <row r="34" spans="1:4">
      <c r="A34" s="58"/>
      <c r="B34" s="58"/>
      <c r="C34" s="58"/>
      <c r="D34" s="58"/>
    </row>
    <row r="35" spans="1:4">
      <c r="A35" s="58"/>
      <c r="B35" s="58"/>
      <c r="C35" s="58"/>
      <c r="D35" s="58"/>
    </row>
    <row r="36" spans="1:4">
      <c r="A36" s="58"/>
      <c r="B36" s="58"/>
      <c r="C36" s="58"/>
      <c r="D36" s="58"/>
    </row>
  </sheetData>
  <mergeCells count="18">
    <mergeCell ref="A1:D1"/>
    <mergeCell ref="F1:K1"/>
    <mergeCell ref="A3:A11"/>
    <mergeCell ref="B3:B11"/>
    <mergeCell ref="B13:B14"/>
    <mergeCell ref="A13:A28"/>
    <mergeCell ref="A31:D36"/>
    <mergeCell ref="F6:K11"/>
    <mergeCell ref="A12:C12"/>
    <mergeCell ref="A29:C29"/>
    <mergeCell ref="A30:C30"/>
    <mergeCell ref="B15:B16"/>
    <mergeCell ref="B17:B18"/>
    <mergeCell ref="B27:B28"/>
    <mergeCell ref="B19:B20"/>
    <mergeCell ref="B21:B22"/>
    <mergeCell ref="B23:B24"/>
    <mergeCell ref="B25:B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7DEE-799E-4750-A42A-8D017A0AE7BD}">
  <dimension ref="A1:Q18"/>
  <sheetViews>
    <sheetView zoomScaleNormal="100" workbookViewId="0"/>
  </sheetViews>
  <sheetFormatPr defaultColWidth="8.796875" defaultRowHeight="13.5"/>
  <cols>
    <col min="1" max="1" width="20.3984375" style="15" bestFit="1" customWidth="1"/>
    <col min="2" max="2" width="12.69921875" style="15" customWidth="1"/>
    <col min="3" max="3" width="15.296875" style="15" bestFit="1" customWidth="1"/>
    <col min="4" max="4" width="12.59765625" style="15" bestFit="1" customWidth="1"/>
    <col min="5" max="5" width="14.296875" style="15" bestFit="1" customWidth="1"/>
    <col min="6" max="6" width="14" style="15" bestFit="1" customWidth="1"/>
    <col min="7" max="7" width="8.796875" style="15"/>
    <col min="8" max="10" width="8.796875" style="15" bestFit="1" customWidth="1"/>
    <col min="11" max="11" width="9.5" style="15" bestFit="1" customWidth="1"/>
    <col min="12" max="17" width="8.796875" style="15" bestFit="1" customWidth="1"/>
    <col min="18" max="16384" width="8.796875" style="15"/>
  </cols>
  <sheetData>
    <row r="1" spans="1:17" ht="27.75" thickBo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H1" s="1" t="s">
        <v>22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23</v>
      </c>
      <c r="O1" s="2" t="s">
        <v>24</v>
      </c>
      <c r="P1" s="2" t="s">
        <v>13</v>
      </c>
      <c r="Q1" s="3" t="s">
        <v>25</v>
      </c>
    </row>
    <row r="2" spans="1:17">
      <c r="A2" s="18" t="s">
        <v>6</v>
      </c>
      <c r="B2" s="19">
        <v>43153.33</v>
      </c>
      <c r="C2" s="19">
        <v>455858.17999999993</v>
      </c>
      <c r="D2" s="19"/>
      <c r="E2" s="19">
        <v>262174.14</v>
      </c>
      <c r="F2" s="19">
        <v>761185.64999999991</v>
      </c>
      <c r="H2" s="4">
        <v>45170</v>
      </c>
      <c r="I2" s="5">
        <v>170.20483068009466</v>
      </c>
      <c r="J2" s="6">
        <v>131.05713509276433</v>
      </c>
      <c r="K2" s="6">
        <v>491.26707566096701</v>
      </c>
      <c r="L2" s="6">
        <v>162.59084915104046</v>
      </c>
      <c r="M2" s="6">
        <v>0</v>
      </c>
      <c r="N2" s="6">
        <v>298.13285172430983</v>
      </c>
      <c r="O2" s="6">
        <v>2.0528733247322535</v>
      </c>
      <c r="P2" s="6">
        <v>20.366666666666667</v>
      </c>
      <c r="Q2" s="7">
        <v>353.03388944366282</v>
      </c>
    </row>
    <row r="3" spans="1:17">
      <c r="A3" s="18" t="s">
        <v>7</v>
      </c>
      <c r="B3" s="19">
        <v>45027.020000000004</v>
      </c>
      <c r="C3" s="19">
        <v>986686.41999999993</v>
      </c>
      <c r="D3" s="19"/>
      <c r="E3" s="19">
        <v>496167.18999999994</v>
      </c>
      <c r="F3" s="19">
        <v>1527880.63</v>
      </c>
      <c r="H3" s="4">
        <f>EDATE(H2,1)</f>
        <v>45200</v>
      </c>
      <c r="I3" s="8">
        <v>156.94323761425184</v>
      </c>
      <c r="J3" s="9">
        <v>128.74431519879801</v>
      </c>
      <c r="K3" s="9">
        <v>483.494919272483</v>
      </c>
      <c r="L3" s="9">
        <v>157.34080097388249</v>
      </c>
      <c r="M3" s="9">
        <v>0</v>
      </c>
      <c r="N3" s="9">
        <v>269.99420459765531</v>
      </c>
      <c r="O3" s="9">
        <v>1.4130655218832395</v>
      </c>
      <c r="P3" s="9">
        <v>18.838709677419352</v>
      </c>
      <c r="Q3" s="10">
        <v>362.17175602003056</v>
      </c>
    </row>
    <row r="4" spans="1:17">
      <c r="A4" s="18" t="s">
        <v>8</v>
      </c>
      <c r="B4" s="19">
        <v>265361.47000000003</v>
      </c>
      <c r="C4" s="19">
        <v>5121586.5699999994</v>
      </c>
      <c r="D4" s="19"/>
      <c r="E4" s="19">
        <v>4428132.01</v>
      </c>
      <c r="F4" s="19">
        <v>9815080.0499999989</v>
      </c>
      <c r="H4" s="4">
        <f t="shared" ref="H4:H13" si="0">EDATE(H3,1)</f>
        <v>45231</v>
      </c>
      <c r="I4" s="8">
        <v>159.23435128171772</v>
      </c>
      <c r="J4" s="9">
        <v>113.22150326370803</v>
      </c>
      <c r="K4" s="9">
        <v>509.40498379324703</v>
      </c>
      <c r="L4" s="9">
        <v>149.42512835028575</v>
      </c>
      <c r="M4" s="9">
        <v>0.92431109532625322</v>
      </c>
      <c r="N4" s="9">
        <v>308.45423225177251</v>
      </c>
      <c r="O4" s="9">
        <v>1.3555555555555556</v>
      </c>
      <c r="P4" s="9">
        <v>20.753333333333334</v>
      </c>
      <c r="Q4" s="10">
        <v>309.24716641853428</v>
      </c>
    </row>
    <row r="5" spans="1:17">
      <c r="A5" s="18" t="s">
        <v>9</v>
      </c>
      <c r="B5" s="19">
        <v>218323.69</v>
      </c>
      <c r="C5" s="19">
        <v>2403071.85</v>
      </c>
      <c r="D5" s="19"/>
      <c r="E5" s="19">
        <v>2130626.02</v>
      </c>
      <c r="F5" s="19">
        <v>4752021.5600000005</v>
      </c>
      <c r="H5" s="4">
        <f t="shared" si="0"/>
        <v>45261</v>
      </c>
      <c r="I5" s="8">
        <v>153.82363781962638</v>
      </c>
      <c r="J5" s="9">
        <v>107.55035436428702</v>
      </c>
      <c r="K5" s="9">
        <v>485.74849199679289</v>
      </c>
      <c r="L5" s="9">
        <v>144.38770274859627</v>
      </c>
      <c r="M5" s="9">
        <v>0.59300368660344094</v>
      </c>
      <c r="N5" s="9">
        <v>299.98375217883853</v>
      </c>
      <c r="O5" s="9">
        <v>1.0999999999999999</v>
      </c>
      <c r="P5" s="9">
        <v>21.490322580645163</v>
      </c>
      <c r="Q5" s="10">
        <v>299.46152922621025</v>
      </c>
    </row>
    <row r="6" spans="1:17">
      <c r="A6" s="18" t="s">
        <v>10</v>
      </c>
      <c r="B6" s="19"/>
      <c r="C6" s="19"/>
      <c r="D6" s="19"/>
      <c r="E6" s="19">
        <v>0</v>
      </c>
      <c r="F6" s="19">
        <v>0</v>
      </c>
      <c r="H6" s="4">
        <f t="shared" si="0"/>
        <v>45292</v>
      </c>
      <c r="I6" s="8">
        <v>148.08940107408802</v>
      </c>
      <c r="J6" s="9">
        <v>100.95204790474362</v>
      </c>
      <c r="K6" s="9">
        <v>464.40948273171597</v>
      </c>
      <c r="L6" s="9">
        <v>139.36066598786604</v>
      </c>
      <c r="M6" s="9">
        <v>0.26186510493150539</v>
      </c>
      <c r="N6" s="9">
        <v>286.47574424894128</v>
      </c>
      <c r="O6" s="9">
        <v>1.2833333333333332</v>
      </c>
      <c r="P6" s="9">
        <v>21.141935483870963</v>
      </c>
      <c r="Q6" s="10">
        <v>289.89156907314862</v>
      </c>
    </row>
    <row r="7" spans="1:17">
      <c r="A7" s="18" t="s">
        <v>11</v>
      </c>
      <c r="B7" s="19">
        <v>699.96</v>
      </c>
      <c r="C7" s="19">
        <v>56266.840000000004</v>
      </c>
      <c r="D7" s="19"/>
      <c r="E7" s="19">
        <v>0</v>
      </c>
      <c r="F7" s="19">
        <v>56966.8</v>
      </c>
      <c r="H7" s="4">
        <f t="shared" si="0"/>
        <v>45323</v>
      </c>
      <c r="I7" s="8">
        <v>142.13649117662735</v>
      </c>
      <c r="J7" s="9">
        <v>94.038559942807936</v>
      </c>
      <c r="K7" s="9">
        <v>439.32320785630998</v>
      </c>
      <c r="L7" s="9">
        <v>132.13389721427228</v>
      </c>
      <c r="M7" s="9">
        <v>3.09094192313531E-2</v>
      </c>
      <c r="N7" s="9">
        <v>273.68042450543686</v>
      </c>
      <c r="O7" s="9">
        <v>1.2777777777777777</v>
      </c>
      <c r="P7" s="9">
        <v>21.389408866995076</v>
      </c>
      <c r="Q7" s="10">
        <v>281.86877164256214</v>
      </c>
    </row>
    <row r="8" spans="1:17">
      <c r="A8" s="18" t="s">
        <v>12</v>
      </c>
      <c r="B8" s="19">
        <v>192581.62</v>
      </c>
      <c r="C8" s="19">
        <v>2251134.2400000002</v>
      </c>
      <c r="D8" s="19"/>
      <c r="E8" s="19">
        <v>1278016.58</v>
      </c>
      <c r="F8" s="19">
        <v>3721732.4400000004</v>
      </c>
      <c r="H8" s="4">
        <f t="shared" si="0"/>
        <v>45352</v>
      </c>
      <c r="I8" s="8">
        <v>137.16764262761663</v>
      </c>
      <c r="J8" s="9">
        <v>89.501898681172406</v>
      </c>
      <c r="K8" s="9">
        <v>422.90172118349562</v>
      </c>
      <c r="L8" s="9">
        <v>122.62613067933592</v>
      </c>
      <c r="M8" s="9">
        <v>0.55941113009322507</v>
      </c>
      <c r="N8" s="9">
        <v>262.51888320233547</v>
      </c>
      <c r="O8" s="9">
        <v>1.2777777777777777</v>
      </c>
      <c r="P8" s="9">
        <v>22.103225806451611</v>
      </c>
      <c r="Q8" s="10">
        <v>275.33815857034648</v>
      </c>
    </row>
    <row r="9" spans="1:17">
      <c r="A9" s="18" t="s">
        <v>13</v>
      </c>
      <c r="B9" s="19">
        <v>19231.8</v>
      </c>
      <c r="C9" s="19">
        <v>727460.39</v>
      </c>
      <c r="D9" s="19"/>
      <c r="E9" s="19">
        <v>42762.670000000006</v>
      </c>
      <c r="F9" s="19">
        <v>789454.8600000001</v>
      </c>
      <c r="H9" s="4">
        <f t="shared" si="0"/>
        <v>45383</v>
      </c>
      <c r="I9" s="8">
        <v>131.5123854223248</v>
      </c>
      <c r="J9" s="9">
        <v>80.969367170772145</v>
      </c>
      <c r="K9" s="9">
        <v>390.14672579760685</v>
      </c>
      <c r="L9" s="9">
        <v>109.4270232904578</v>
      </c>
      <c r="M9" s="9">
        <v>0.89183119340346295</v>
      </c>
      <c r="N9" s="9">
        <v>249.50348244762932</v>
      </c>
      <c r="O9" s="9">
        <v>1.0111111111111111</v>
      </c>
      <c r="P9" s="9">
        <v>22.246666666666666</v>
      </c>
      <c r="Q9" s="10">
        <v>263.13818475302202</v>
      </c>
    </row>
    <row r="10" spans="1:17">
      <c r="A10" s="18" t="s">
        <v>14</v>
      </c>
      <c r="B10" s="19"/>
      <c r="C10" s="19">
        <v>16015700.6</v>
      </c>
      <c r="D10" s="19"/>
      <c r="E10" s="19"/>
      <c r="F10" s="19">
        <v>16015700.6</v>
      </c>
      <c r="H10" s="4">
        <f t="shared" si="0"/>
        <v>45413</v>
      </c>
      <c r="I10" s="8">
        <v>131.56467216687128</v>
      </c>
      <c r="J10" s="9">
        <v>80.872309146407517</v>
      </c>
      <c r="K10" s="9">
        <v>391.70794282651354</v>
      </c>
      <c r="L10" s="9">
        <v>107.89825309960969</v>
      </c>
      <c r="M10" s="9">
        <v>1.1392986076685663</v>
      </c>
      <c r="N10" s="9">
        <v>251.25007988546179</v>
      </c>
      <c r="O10" s="9">
        <v>1.5111111111111111</v>
      </c>
      <c r="P10" s="9">
        <v>21.843870967741935</v>
      </c>
      <c r="Q10" s="10">
        <v>258.14395012564245</v>
      </c>
    </row>
    <row r="11" spans="1:17">
      <c r="H11" s="4">
        <f t="shared" si="0"/>
        <v>45444</v>
      </c>
      <c r="I11" s="8">
        <v>131.65706387032975</v>
      </c>
      <c r="J11" s="9">
        <v>80.837276735916831</v>
      </c>
      <c r="K11" s="9">
        <v>391.97490884448695</v>
      </c>
      <c r="L11" s="9">
        <v>111.05613540967063</v>
      </c>
      <c r="M11" s="9">
        <v>0.89743460275205811</v>
      </c>
      <c r="N11" s="9">
        <v>249.77435045591915</v>
      </c>
      <c r="O11" s="9">
        <v>2.2999999999999998</v>
      </c>
      <c r="P11" s="9">
        <v>21.378666666666668</v>
      </c>
      <c r="Q11" s="10">
        <v>258.88073620599926</v>
      </c>
    </row>
    <row r="12" spans="1:17">
      <c r="A12" s="38"/>
      <c r="B12" s="38" t="s">
        <v>1</v>
      </c>
      <c r="C12" s="38" t="s">
        <v>2</v>
      </c>
      <c r="D12" s="38" t="s">
        <v>3</v>
      </c>
      <c r="E12" s="38" t="s">
        <v>4</v>
      </c>
      <c r="F12" s="38" t="s">
        <v>5</v>
      </c>
      <c r="H12" s="4">
        <f t="shared" si="0"/>
        <v>45474</v>
      </c>
      <c r="I12" s="8">
        <v>131.68821317089291</v>
      </c>
      <c r="J12" s="9">
        <v>80.478273555688375</v>
      </c>
      <c r="K12" s="9">
        <v>394.19779080763055</v>
      </c>
      <c r="L12" s="9">
        <v>112.15968078866396</v>
      </c>
      <c r="M12" s="9">
        <v>0.79415369001843339</v>
      </c>
      <c r="N12" s="9">
        <v>249.0976624287274</v>
      </c>
      <c r="O12" s="9">
        <v>2.4333333333333331</v>
      </c>
      <c r="P12" s="9">
        <v>20.483870967741932</v>
      </c>
      <c r="Q12" s="10">
        <v>260.00971465788598</v>
      </c>
    </row>
    <row r="13" spans="1:17" ht="14.25" thickBot="1">
      <c r="A13" s="38" t="s">
        <v>40</v>
      </c>
      <c r="B13" s="16">
        <f>SUM(Table1[Entitlements])</f>
        <v>784378.89</v>
      </c>
      <c r="C13" s="16">
        <f>SUM(Table1[GR])</f>
        <v>28017765.09</v>
      </c>
      <c r="D13" s="16">
        <f>SUM(Table1[Other])</f>
        <v>0</v>
      </c>
      <c r="E13" s="16">
        <f>SUM(Table1[TANF])</f>
        <v>8637878.6099999994</v>
      </c>
      <c r="F13" s="16">
        <f>SUM(Table1[Grand Total])</f>
        <v>37440022.590000004</v>
      </c>
      <c r="H13" s="11">
        <f t="shared" si="0"/>
        <v>45505</v>
      </c>
      <c r="I13" s="12">
        <v>131.75884548582991</v>
      </c>
      <c r="J13" s="13">
        <v>80.095812970285778</v>
      </c>
      <c r="K13" s="13">
        <v>394.81412348218839</v>
      </c>
      <c r="L13" s="13">
        <v>113.63235629137039</v>
      </c>
      <c r="M13" s="13">
        <v>0.88386229227305591</v>
      </c>
      <c r="N13" s="13">
        <v>248.44726419386134</v>
      </c>
      <c r="O13" s="13">
        <v>1.9777777777777779</v>
      </c>
      <c r="P13" s="13">
        <v>20.278709677419346</v>
      </c>
      <c r="Q13" s="14">
        <v>261.23860345429199</v>
      </c>
    </row>
    <row r="14" spans="1:17" ht="14.25" thickBot="1"/>
    <row r="15" spans="1:17" ht="27.75" thickBot="1">
      <c r="H15" s="33" t="s">
        <v>31</v>
      </c>
      <c r="I15" s="2" t="s">
        <v>6</v>
      </c>
      <c r="J15" s="2" t="s">
        <v>7</v>
      </c>
      <c r="K15" s="2" t="s">
        <v>8</v>
      </c>
      <c r="L15" s="2" t="s">
        <v>9</v>
      </c>
      <c r="M15" s="2" t="s">
        <v>10</v>
      </c>
      <c r="N15" s="2" t="s">
        <v>23</v>
      </c>
      <c r="O15" s="2" t="s">
        <v>24</v>
      </c>
      <c r="P15" s="2" t="s">
        <v>13</v>
      </c>
      <c r="Q15" s="3" t="s">
        <v>25</v>
      </c>
    </row>
    <row r="16" spans="1:17" ht="14.25" thickBot="1">
      <c r="H16" s="28">
        <v>2024</v>
      </c>
      <c r="I16" s="34">
        <f>AVERAGE(I2:I4)</f>
        <v>162.1274731920214</v>
      </c>
      <c r="J16" s="35">
        <f t="shared" ref="J16:Q16" si="1">AVERAGE(J2:J4)</f>
        <v>124.34098451842345</v>
      </c>
      <c r="K16" s="35">
        <f t="shared" si="1"/>
        <v>494.72232624223238</v>
      </c>
      <c r="L16" s="35">
        <f t="shared" si="1"/>
        <v>156.45225949173621</v>
      </c>
      <c r="M16" s="35">
        <f t="shared" si="1"/>
        <v>0.30810369844208441</v>
      </c>
      <c r="N16" s="35">
        <f t="shared" si="1"/>
        <v>292.19376285791253</v>
      </c>
      <c r="O16" s="35">
        <f t="shared" si="1"/>
        <v>1.6071648007236827</v>
      </c>
      <c r="P16" s="35">
        <f t="shared" si="1"/>
        <v>19.986236559139783</v>
      </c>
      <c r="Q16" s="36">
        <f t="shared" si="1"/>
        <v>341.48427062740922</v>
      </c>
    </row>
    <row r="18" spans="9:17">
      <c r="I18" s="37"/>
      <c r="J18" s="37"/>
      <c r="K18" s="37"/>
      <c r="L18" s="37"/>
      <c r="M18" s="37"/>
      <c r="N18" s="37"/>
      <c r="O18" s="37"/>
      <c r="P18" s="37"/>
      <c r="Q18" s="3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9E32-90EB-46E7-95C7-57626474805F}">
  <dimension ref="A1:BI71"/>
  <sheetViews>
    <sheetView zoomScaleNormal="100" workbookViewId="0"/>
  </sheetViews>
  <sheetFormatPr defaultColWidth="8.796875" defaultRowHeight="13.5"/>
  <cols>
    <col min="1" max="1" width="15.296875" style="15" customWidth="1"/>
    <col min="2" max="3" width="13" style="15" customWidth="1"/>
    <col min="4" max="4" width="12.69921875" style="15" customWidth="1"/>
    <col min="5" max="6" width="14.19921875" style="15" bestFit="1" customWidth="1"/>
    <col min="7" max="7" width="11.796875" style="15" customWidth="1"/>
    <col min="8" max="8" width="8.796875" style="15"/>
    <col min="9" max="9" width="19.296875" style="15" bestFit="1" customWidth="1"/>
    <col min="10" max="10" width="8.796875" style="15"/>
    <col min="11" max="11" width="9.5" style="15" bestFit="1" customWidth="1"/>
    <col min="12" max="27" width="10.69921875" style="15" customWidth="1"/>
    <col min="28" max="28" width="8.796875" style="15"/>
    <col min="29" max="29" width="9.19921875" style="15" bestFit="1" customWidth="1"/>
    <col min="30" max="30" width="10" style="15" bestFit="1" customWidth="1"/>
    <col min="31" max="32" width="13.19921875" style="15" bestFit="1" customWidth="1"/>
    <col min="33" max="33" width="16.3984375" style="15" bestFit="1" customWidth="1"/>
    <col min="34" max="34" width="10" style="15" bestFit="1" customWidth="1"/>
    <col min="35" max="36" width="13.19921875" style="15" bestFit="1" customWidth="1"/>
    <col min="37" max="37" width="16.3984375" style="15" bestFit="1" customWidth="1"/>
    <col min="38" max="38" width="10.796875" style="15" bestFit="1" customWidth="1"/>
    <col min="39" max="40" width="14" style="15" bestFit="1" customWidth="1"/>
    <col min="41" max="41" width="17.19921875" style="15" bestFit="1" customWidth="1"/>
    <col min="42" max="42" width="10.796875" style="15" bestFit="1" customWidth="1"/>
    <col min="43" max="44" width="14" style="15" bestFit="1" customWidth="1"/>
    <col min="45" max="45" width="17.19921875" style="15" bestFit="1" customWidth="1"/>
    <col min="46" max="46" width="10" style="15" bestFit="1" customWidth="1"/>
    <col min="47" max="48" width="13.19921875" style="15" bestFit="1" customWidth="1"/>
    <col min="49" max="49" width="16.3984375" style="15" bestFit="1" customWidth="1"/>
    <col min="50" max="50" width="10" style="15" bestFit="1" customWidth="1"/>
    <col min="51" max="52" width="13.19921875" style="15" bestFit="1" customWidth="1"/>
    <col min="53" max="53" width="16.3984375" style="15" bestFit="1" customWidth="1"/>
    <col min="54" max="57" width="16.3984375" style="15" customWidth="1"/>
    <col min="58" max="58" width="10.796875" style="15" bestFit="1" customWidth="1"/>
    <col min="59" max="60" width="14" style="15" bestFit="1" customWidth="1"/>
    <col min="61" max="61" width="17.19921875" style="15" bestFit="1" customWidth="1"/>
    <col min="62" max="16384" width="8.796875" style="15"/>
  </cols>
  <sheetData>
    <row r="1" spans="1:61">
      <c r="A1" s="17" t="s">
        <v>15</v>
      </c>
      <c r="B1" s="17" t="s">
        <v>0</v>
      </c>
      <c r="C1" s="17" t="s">
        <v>28</v>
      </c>
      <c r="D1" s="17" t="s">
        <v>1</v>
      </c>
      <c r="E1" s="17" t="s">
        <v>2</v>
      </c>
      <c r="F1" s="17" t="s">
        <v>4</v>
      </c>
      <c r="G1" s="17" t="s">
        <v>5</v>
      </c>
      <c r="H1" s="17" t="s">
        <v>26</v>
      </c>
      <c r="I1" s="17" t="s">
        <v>39</v>
      </c>
      <c r="K1" s="20"/>
      <c r="L1" s="67">
        <v>1</v>
      </c>
      <c r="M1" s="67"/>
      <c r="N1" s="67">
        <v>2</v>
      </c>
      <c r="O1" s="67"/>
      <c r="P1" s="67" t="s">
        <v>44</v>
      </c>
      <c r="Q1" s="67"/>
      <c r="R1" s="67" t="s">
        <v>43</v>
      </c>
      <c r="S1" s="67"/>
      <c r="T1" s="67">
        <v>4</v>
      </c>
      <c r="U1" s="67"/>
      <c r="V1" s="67">
        <v>5</v>
      </c>
      <c r="W1" s="67"/>
      <c r="X1" s="67" t="s">
        <v>21</v>
      </c>
      <c r="Y1" s="67"/>
      <c r="Z1" s="67" t="s">
        <v>42</v>
      </c>
      <c r="AA1" s="68"/>
      <c r="AC1" s="20"/>
      <c r="AD1" s="67">
        <v>1</v>
      </c>
      <c r="AE1" s="67"/>
      <c r="AF1" s="67"/>
      <c r="AG1" s="67"/>
      <c r="AH1" s="67">
        <v>2</v>
      </c>
      <c r="AI1" s="67"/>
      <c r="AJ1" s="67"/>
      <c r="AK1" s="67"/>
      <c r="AL1" s="67" t="s">
        <v>20</v>
      </c>
      <c r="AM1" s="67"/>
      <c r="AN1" s="67"/>
      <c r="AO1" s="67"/>
      <c r="AP1" s="67" t="s">
        <v>43</v>
      </c>
      <c r="AQ1" s="67"/>
      <c r="AR1" s="67"/>
      <c r="AS1" s="67"/>
      <c r="AT1" s="67">
        <v>4</v>
      </c>
      <c r="AU1" s="67"/>
      <c r="AV1" s="67"/>
      <c r="AW1" s="67"/>
      <c r="AX1" s="67">
        <v>5</v>
      </c>
      <c r="AY1" s="67"/>
      <c r="AZ1" s="67"/>
      <c r="BA1" s="67"/>
      <c r="BB1" s="67" t="s">
        <v>21</v>
      </c>
      <c r="BC1" s="67"/>
      <c r="BD1" s="67"/>
      <c r="BE1" s="67"/>
      <c r="BF1" s="67" t="s">
        <v>42</v>
      </c>
      <c r="BG1" s="67"/>
      <c r="BH1" s="67"/>
      <c r="BI1" s="68"/>
    </row>
    <row r="2" spans="1:61" ht="14.25" thickBot="1">
      <c r="A2" s="18" t="s">
        <v>16</v>
      </c>
      <c r="B2" s="18" t="s">
        <v>17</v>
      </c>
      <c r="C2" s="18" t="s">
        <v>29</v>
      </c>
      <c r="D2" s="19">
        <v>1216236.0299999998</v>
      </c>
      <c r="E2" s="19">
        <v>943289.14</v>
      </c>
      <c r="F2" s="19">
        <v>62194.399999999994</v>
      </c>
      <c r="G2" s="19">
        <v>2221719.5699999998</v>
      </c>
      <c r="H2" s="45" t="str">
        <f>IF(Table2[[#This Row],[PAC]]="26300","IV-E","Non IV-E")</f>
        <v>IV-E</v>
      </c>
      <c r="I2" s="45" t="str">
        <f>_xlfn.CONCAT(Table2[[#This Row],[Catchment Area]],Table2[[#This Row],[Level of Care]],Table2[[#This Row],[IV-E]])</f>
        <v>1BlendedIV-E</v>
      </c>
      <c r="K2" s="21" t="s">
        <v>22</v>
      </c>
      <c r="L2" s="22" t="s">
        <v>17</v>
      </c>
      <c r="M2" s="22" t="s">
        <v>18</v>
      </c>
      <c r="N2" s="22" t="s">
        <v>17</v>
      </c>
      <c r="O2" s="22" t="s">
        <v>18</v>
      </c>
      <c r="P2" s="22" t="s">
        <v>17</v>
      </c>
      <c r="Q2" s="22" t="s">
        <v>18</v>
      </c>
      <c r="R2" s="22" t="s">
        <v>17</v>
      </c>
      <c r="S2" s="22" t="s">
        <v>18</v>
      </c>
      <c r="T2" s="22" t="s">
        <v>17</v>
      </c>
      <c r="U2" s="22" t="s">
        <v>18</v>
      </c>
      <c r="V2" s="22" t="s">
        <v>17</v>
      </c>
      <c r="W2" s="22" t="s">
        <v>18</v>
      </c>
      <c r="X2" s="22" t="s">
        <v>17</v>
      </c>
      <c r="Y2" s="22" t="s">
        <v>18</v>
      </c>
      <c r="Z2" s="22" t="s">
        <v>17</v>
      </c>
      <c r="AA2" s="23" t="s">
        <v>18</v>
      </c>
      <c r="AC2" s="24"/>
      <c r="AD2" s="70" t="s">
        <v>17</v>
      </c>
      <c r="AE2" s="70"/>
      <c r="AF2" s="70" t="s">
        <v>18</v>
      </c>
      <c r="AG2" s="70"/>
      <c r="AH2" s="70" t="s">
        <v>17</v>
      </c>
      <c r="AI2" s="70"/>
      <c r="AJ2" s="70" t="s">
        <v>18</v>
      </c>
      <c r="AK2" s="70"/>
      <c r="AL2" s="70" t="s">
        <v>17</v>
      </c>
      <c r="AM2" s="70"/>
      <c r="AN2" s="70" t="s">
        <v>18</v>
      </c>
      <c r="AO2" s="70"/>
      <c r="AP2" s="70" t="s">
        <v>17</v>
      </c>
      <c r="AQ2" s="70"/>
      <c r="AR2" s="70" t="s">
        <v>18</v>
      </c>
      <c r="AS2" s="70"/>
      <c r="AT2" s="70" t="s">
        <v>17</v>
      </c>
      <c r="AU2" s="70"/>
      <c r="AV2" s="70" t="s">
        <v>18</v>
      </c>
      <c r="AW2" s="70"/>
      <c r="AX2" s="70" t="s">
        <v>17</v>
      </c>
      <c r="AY2" s="70"/>
      <c r="AZ2" s="70" t="s">
        <v>18</v>
      </c>
      <c r="BA2" s="70"/>
      <c r="BB2" s="70" t="s">
        <v>17</v>
      </c>
      <c r="BC2" s="70"/>
      <c r="BD2" s="70" t="s">
        <v>18</v>
      </c>
      <c r="BE2" s="70"/>
      <c r="BF2" s="70" t="s">
        <v>17</v>
      </c>
      <c r="BG2" s="70"/>
      <c r="BH2" s="70" t="s">
        <v>18</v>
      </c>
      <c r="BI2" s="71"/>
    </row>
    <row r="3" spans="1:61">
      <c r="A3" s="18" t="s">
        <v>16</v>
      </c>
      <c r="B3" s="18" t="s">
        <v>17</v>
      </c>
      <c r="C3" s="18" t="s">
        <v>30</v>
      </c>
      <c r="D3" s="19"/>
      <c r="E3" s="19">
        <v>2409553.17</v>
      </c>
      <c r="F3" s="19">
        <v>1622230.63</v>
      </c>
      <c r="G3" s="19">
        <v>4031783.8</v>
      </c>
      <c r="H3" s="45" t="str">
        <f>IF(Table2[[#This Row],[PAC]]="26300","IV-E","Non IV-E")</f>
        <v>Non IV-E</v>
      </c>
      <c r="I3" s="45" t="str">
        <f>_xlfn.CONCAT(Table2[[#This Row],[Catchment Area]],Table2[[#This Row],[Level of Care]],Table2[[#This Row],[IV-E]])</f>
        <v>1BlendedNon IV-E</v>
      </c>
      <c r="K3" s="4">
        <v>45170</v>
      </c>
      <c r="L3" s="5">
        <v>217.33383333333333</v>
      </c>
      <c r="M3" s="6">
        <v>11.686470000000002</v>
      </c>
      <c r="N3" s="6">
        <v>97.016303333333326</v>
      </c>
      <c r="O3" s="6">
        <v>17.167433333333335</v>
      </c>
      <c r="P3" s="6">
        <v>179.9679433333333</v>
      </c>
      <c r="Q3" s="6">
        <v>29.262510000000002</v>
      </c>
      <c r="R3" s="6">
        <v>3.8666666666666667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162.92989333333335</v>
      </c>
      <c r="AA3" s="7">
        <v>25.801533333333335</v>
      </c>
      <c r="AC3" s="25" t="s">
        <v>31</v>
      </c>
      <c r="AD3" s="26" t="s">
        <v>26</v>
      </c>
      <c r="AE3" s="26" t="s">
        <v>27</v>
      </c>
      <c r="AF3" s="26" t="s">
        <v>26</v>
      </c>
      <c r="AG3" s="26" t="s">
        <v>27</v>
      </c>
      <c r="AH3" s="26" t="s">
        <v>26</v>
      </c>
      <c r="AI3" s="26" t="s">
        <v>27</v>
      </c>
      <c r="AJ3" s="26" t="s">
        <v>26</v>
      </c>
      <c r="AK3" s="26" t="s">
        <v>27</v>
      </c>
      <c r="AL3" s="26" t="s">
        <v>26</v>
      </c>
      <c r="AM3" s="26" t="s">
        <v>27</v>
      </c>
      <c r="AN3" s="26" t="s">
        <v>26</v>
      </c>
      <c r="AO3" s="26" t="s">
        <v>27</v>
      </c>
      <c r="AP3" s="52" t="s">
        <v>26</v>
      </c>
      <c r="AQ3" s="52" t="s">
        <v>27</v>
      </c>
      <c r="AR3" s="52" t="s">
        <v>26</v>
      </c>
      <c r="AS3" s="52" t="s">
        <v>27</v>
      </c>
      <c r="AT3" s="52" t="s">
        <v>26</v>
      </c>
      <c r="AU3" s="52" t="s">
        <v>27</v>
      </c>
      <c r="AV3" s="52" t="s">
        <v>26</v>
      </c>
      <c r="AW3" s="52" t="s">
        <v>27</v>
      </c>
      <c r="AX3" s="52" t="s">
        <v>26</v>
      </c>
      <c r="AY3" s="52" t="s">
        <v>27</v>
      </c>
      <c r="AZ3" s="52" t="s">
        <v>26</v>
      </c>
      <c r="BA3" s="52" t="s">
        <v>27</v>
      </c>
      <c r="BB3" s="53" t="s">
        <v>26</v>
      </c>
      <c r="BC3" s="53" t="s">
        <v>27</v>
      </c>
      <c r="BD3" s="53" t="s">
        <v>26</v>
      </c>
      <c r="BE3" s="53" t="s">
        <v>27</v>
      </c>
      <c r="BF3" s="26" t="s">
        <v>26</v>
      </c>
      <c r="BG3" s="26" t="s">
        <v>27</v>
      </c>
      <c r="BH3" s="26" t="s">
        <v>26</v>
      </c>
      <c r="BI3" s="27" t="s">
        <v>27</v>
      </c>
    </row>
    <row r="4" spans="1:61" ht="14.25" thickBot="1">
      <c r="A4" s="18" t="s">
        <v>16</v>
      </c>
      <c r="B4" s="18" t="s">
        <v>18</v>
      </c>
      <c r="C4" s="18" t="s">
        <v>29</v>
      </c>
      <c r="D4" s="19">
        <v>17049.48</v>
      </c>
      <c r="E4" s="19">
        <v>11625.030000000002</v>
      </c>
      <c r="F4" s="19">
        <v>4150.21</v>
      </c>
      <c r="G4" s="19">
        <v>32824.720000000001</v>
      </c>
      <c r="H4" s="45" t="str">
        <f>IF(Table2[[#This Row],[PAC]]="26300","IV-E","Non IV-E")</f>
        <v>IV-E</v>
      </c>
      <c r="I4" s="45" t="str">
        <f>_xlfn.CONCAT(Table2[[#This Row],[Catchment Area]],Table2[[#This Row],[Level of Care]],Table2[[#This Row],[IV-E]])</f>
        <v>1ExceptionalIV-E</v>
      </c>
      <c r="K4" s="4">
        <f>EDATE(K3,1)</f>
        <v>45200</v>
      </c>
      <c r="L4" s="8">
        <v>229.38537096774195</v>
      </c>
      <c r="M4" s="9">
        <v>14.581387096774195</v>
      </c>
      <c r="N4" s="9">
        <v>92.42493870967742</v>
      </c>
      <c r="O4" s="9">
        <v>15.981309677419356</v>
      </c>
      <c r="P4" s="9">
        <v>189.44059354838708</v>
      </c>
      <c r="Q4" s="9">
        <v>29.512106451612905</v>
      </c>
      <c r="R4" s="9">
        <v>5.4838709677419351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163.85226129032259</v>
      </c>
      <c r="AA4" s="10">
        <v>27.675438709677415</v>
      </c>
      <c r="AC4" s="25"/>
      <c r="AD4" s="26" t="str">
        <f>_xlfn.CONCAT(AD1,AD2,AD3)</f>
        <v>1BlendedIV-E</v>
      </c>
      <c r="AE4" s="26" t="str">
        <f>_xlfn.CONCAT(AD1,AD2,AE3)</f>
        <v>1BlendedNon IV-E</v>
      </c>
      <c r="AF4" s="26" t="str">
        <f>_xlfn.CONCAT(AD1,AF2,AF3)</f>
        <v>1ExceptionalIV-E</v>
      </c>
      <c r="AG4" s="26" t="str">
        <f>_xlfn.CONCAT(AD1,AF2,AG3)</f>
        <v>1ExceptionalNon IV-E</v>
      </c>
      <c r="AH4" s="26" t="str">
        <f>_xlfn.CONCAT(AH1,AH2,AH3)</f>
        <v>2BlendedIV-E</v>
      </c>
      <c r="AI4" s="26" t="str">
        <f>_xlfn.CONCAT(AH1,AH2,AI3)</f>
        <v>2BlendedNon IV-E</v>
      </c>
      <c r="AJ4" s="26" t="str">
        <f>_xlfn.CONCAT(AH1,AJ2,AJ3)</f>
        <v>2ExceptionalIV-E</v>
      </c>
      <c r="AK4" s="26" t="str">
        <f>_xlfn.CONCAT(AH1,AJ2,AK3)</f>
        <v>2ExceptionalNon IV-E</v>
      </c>
      <c r="AL4" s="26" t="str">
        <f>_xlfn.CONCAT(AL1,AL2,AL3)</f>
        <v>3BBlendedIV-E</v>
      </c>
      <c r="AM4" s="26" t="str">
        <f>_xlfn.CONCAT(AL1,AL2,AM3)</f>
        <v>3BBlendedNon IV-E</v>
      </c>
      <c r="AN4" s="26" t="str">
        <f>_xlfn.CONCAT(AL1,AN2,AN3)</f>
        <v>3BExceptionalIV-E</v>
      </c>
      <c r="AO4" s="26" t="str">
        <f>_xlfn.CONCAT(AL1,AN2,AO3)</f>
        <v>3BExceptionalNon IV-E</v>
      </c>
      <c r="AP4" s="52" t="str">
        <f>_xlfn.CONCAT(AP1,AP2,AP3)</f>
        <v>3EBlendedIV-E</v>
      </c>
      <c r="AQ4" s="52" t="str">
        <f>_xlfn.CONCAT(AP1,AP2,AQ3)</f>
        <v>3EBlendedNon IV-E</v>
      </c>
      <c r="AR4" s="52" t="str">
        <f>_xlfn.CONCAT(AP1,AR2,AR3)</f>
        <v>3EExceptionalIV-E</v>
      </c>
      <c r="AS4" s="52" t="str">
        <f>_xlfn.CONCAT(AP1,AR2,AS3)</f>
        <v>3EExceptionalNon IV-E</v>
      </c>
      <c r="AT4" s="52" t="str">
        <f>_xlfn.CONCAT(AT1,AT2,AT3)</f>
        <v>4BlendedIV-E</v>
      </c>
      <c r="AU4" s="52" t="str">
        <f>_xlfn.CONCAT(AT1,AT2,AU3)</f>
        <v>4BlendedNon IV-E</v>
      </c>
      <c r="AV4" s="52" t="str">
        <f>_xlfn.CONCAT(AT1,AV2,AV3)</f>
        <v>4ExceptionalIV-E</v>
      </c>
      <c r="AW4" s="52" t="str">
        <f>_xlfn.CONCAT(AT1,AV2,AW3)</f>
        <v>4ExceptionalNon IV-E</v>
      </c>
      <c r="AX4" s="52" t="str">
        <f>_xlfn.CONCAT(AX1,AX2,AX3)</f>
        <v>5BlendedIV-E</v>
      </c>
      <c r="AY4" s="52" t="str">
        <f>_xlfn.CONCAT(AX1,AX2,AY3)</f>
        <v>5BlendedNon IV-E</v>
      </c>
      <c r="AZ4" s="52" t="str">
        <f>_xlfn.CONCAT(AX1,AZ2,AZ3)</f>
        <v>5ExceptionalIV-E</v>
      </c>
      <c r="BA4" s="52" t="str">
        <f>_xlfn.CONCAT(AX1,AZ2,BA3)</f>
        <v>5ExceptionalNon IV-E</v>
      </c>
      <c r="BB4" s="53" t="str">
        <f>_xlfn.CONCAT(BB1,BB2,BB3)</f>
        <v>8ABlendedIV-E</v>
      </c>
      <c r="BC4" s="53" t="str">
        <f>_xlfn.CONCAT(BB1,BB2,BC3)</f>
        <v>8ABlendedNon IV-E</v>
      </c>
      <c r="BD4" s="53" t="str">
        <f>_xlfn.CONCAT(BB1,BD2,BD3)</f>
        <v>8AExceptionalIV-E</v>
      </c>
      <c r="BE4" s="53" t="str">
        <f>_xlfn.CONCAT(BB1,BD2,BE3)</f>
        <v>8AExceptionalNon IV-E</v>
      </c>
      <c r="BF4" s="26" t="str">
        <f>_xlfn.CONCAT(BF1,BF2,BF3)</f>
        <v>8BBlendedIV-E</v>
      </c>
      <c r="BG4" s="26" t="str">
        <f>_xlfn.CONCAT(BF1,BF2,BG3)</f>
        <v>8BBlendedNon IV-E</v>
      </c>
      <c r="BH4" s="26" t="str">
        <f>_xlfn.CONCAT(BF1,BH2,BH3)</f>
        <v>8BExceptionalIV-E</v>
      </c>
      <c r="BI4" s="27" t="str">
        <f>_xlfn.CONCAT(BF1,BH2,BI3)</f>
        <v>8BExceptionalNon IV-E</v>
      </c>
    </row>
    <row r="5" spans="1:61" ht="14.25" thickBot="1">
      <c r="A5" s="18" t="s">
        <v>16</v>
      </c>
      <c r="B5" s="18" t="s">
        <v>18</v>
      </c>
      <c r="C5" s="18" t="s">
        <v>30</v>
      </c>
      <c r="D5" s="19"/>
      <c r="E5" s="19">
        <v>497193.92</v>
      </c>
      <c r="F5" s="19">
        <v>151640.95999999999</v>
      </c>
      <c r="G5" s="19">
        <v>648834.88</v>
      </c>
      <c r="H5" s="45" t="str">
        <f>IF(Table2[[#This Row],[PAC]]="26300","IV-E","Non IV-E")</f>
        <v>Non IV-E</v>
      </c>
      <c r="I5" s="45" t="str">
        <f>_xlfn.CONCAT(Table2[[#This Row],[Catchment Area]],Table2[[#This Row],[Level of Care]],Table2[[#This Row],[IV-E]])</f>
        <v>1ExceptionalNon IV-E</v>
      </c>
      <c r="K5" s="4">
        <f t="shared" ref="K5:K14" si="0">EDATE(K4,1)</f>
        <v>45231</v>
      </c>
      <c r="L5" s="8">
        <v>229.58630666666664</v>
      </c>
      <c r="M5" s="9">
        <v>14.193846666666666</v>
      </c>
      <c r="N5" s="9">
        <v>90.865003333333334</v>
      </c>
      <c r="O5" s="9">
        <v>16.783390000000001</v>
      </c>
      <c r="P5" s="9">
        <v>200.26465000000002</v>
      </c>
      <c r="Q5" s="9">
        <v>19.645526666666669</v>
      </c>
      <c r="R5" s="9">
        <v>5.0999999999999996</v>
      </c>
      <c r="S5" s="9">
        <v>0</v>
      </c>
      <c r="T5" s="9">
        <v>20.767856666666667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147.61400333333333</v>
      </c>
      <c r="AA5" s="10">
        <v>22.797183333333333</v>
      </c>
      <c r="AC5" s="28">
        <v>2024</v>
      </c>
      <c r="AD5" s="29">
        <v>7.9098789901701022E-2</v>
      </c>
      <c r="AE5" s="29">
        <v>0.41357530434106921</v>
      </c>
      <c r="AF5" s="29">
        <v>0.10560821546211974</v>
      </c>
      <c r="AG5" s="29">
        <v>0.52264139373988716</v>
      </c>
      <c r="AH5" s="29">
        <v>2.8188206108015649E-2</v>
      </c>
      <c r="AI5" s="29">
        <v>0.25147839056654192</v>
      </c>
      <c r="AJ5" s="29">
        <v>9.8712891986062729E-2</v>
      </c>
      <c r="AK5" s="29">
        <v>0.49311946925906464</v>
      </c>
      <c r="AL5" s="29">
        <v>6.16377868568024E-2</v>
      </c>
      <c r="AM5" s="29">
        <v>0.25794191939232464</v>
      </c>
      <c r="AN5" s="29">
        <v>0.46340108621860149</v>
      </c>
      <c r="AO5" s="29">
        <v>0.75044911814776993</v>
      </c>
      <c r="AP5" s="56">
        <v>5.2531092846598952E-2</v>
      </c>
      <c r="AQ5" s="56">
        <v>0.36367284337403116</v>
      </c>
      <c r="AR5" s="56">
        <v>0.33516388175002931</v>
      </c>
      <c r="AS5" s="56">
        <v>0.62758202598900426</v>
      </c>
      <c r="AT5" s="56">
        <v>5.2531092846598952E-2</v>
      </c>
      <c r="AU5" s="56">
        <v>0.36367284337403116</v>
      </c>
      <c r="AV5" s="56">
        <v>0.33516388175002931</v>
      </c>
      <c r="AW5" s="56">
        <v>0.62758202598900426</v>
      </c>
      <c r="AX5" s="56">
        <v>5.2531092846598952E-2</v>
      </c>
      <c r="AY5" s="56">
        <v>0.36367284337403116</v>
      </c>
      <c r="AZ5" s="56">
        <v>0.33516388175002931</v>
      </c>
      <c r="BA5" s="56">
        <v>0.62758202598900426</v>
      </c>
      <c r="BB5" s="29" t="s">
        <v>54</v>
      </c>
      <c r="BC5" s="29" t="s">
        <v>54</v>
      </c>
      <c r="BD5" s="29" t="s">
        <v>54</v>
      </c>
      <c r="BE5" s="29" t="s">
        <v>54</v>
      </c>
      <c r="BF5" s="29">
        <v>4.1199588519876734E-2</v>
      </c>
      <c r="BG5" s="29">
        <v>0.53169575919618894</v>
      </c>
      <c r="BH5" s="29">
        <v>0.67293333333333338</v>
      </c>
      <c r="BI5" s="54">
        <v>0.74411812280929512</v>
      </c>
    </row>
    <row r="6" spans="1:61">
      <c r="A6" s="18" t="s">
        <v>19</v>
      </c>
      <c r="B6" s="18" t="s">
        <v>17</v>
      </c>
      <c r="C6" s="18" t="s">
        <v>29</v>
      </c>
      <c r="D6" s="19">
        <v>1019119.5099999999</v>
      </c>
      <c r="E6" s="19">
        <v>785964.5199999999</v>
      </c>
      <c r="F6" s="19">
        <v>56559.57</v>
      </c>
      <c r="G6" s="19">
        <v>1861643.5999999999</v>
      </c>
      <c r="H6" s="45" t="str">
        <f>IF(Table2[[#This Row],[PAC]]="26300","IV-E","Non IV-E")</f>
        <v>IV-E</v>
      </c>
      <c r="I6" s="45" t="str">
        <f>_xlfn.CONCAT(Table2[[#This Row],[Catchment Area]],Table2[[#This Row],[Level of Care]],Table2[[#This Row],[IV-E]])</f>
        <v>2BlendedIV-E</v>
      </c>
      <c r="K6" s="4">
        <f t="shared" si="0"/>
        <v>45261</v>
      </c>
      <c r="L6" s="8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10">
        <v>0</v>
      </c>
      <c r="AP6" s="15" t="s">
        <v>51</v>
      </c>
      <c r="AT6" s="15" t="s">
        <v>52</v>
      </c>
      <c r="AX6" s="15" t="s">
        <v>53</v>
      </c>
    </row>
    <row r="7" spans="1:61" ht="15.75">
      <c r="A7" s="18" t="s">
        <v>19</v>
      </c>
      <c r="B7" s="18" t="s">
        <v>17</v>
      </c>
      <c r="C7" s="18" t="s">
        <v>30</v>
      </c>
      <c r="D7" s="19"/>
      <c r="E7" s="19">
        <v>1454095.85</v>
      </c>
      <c r="F7" s="19">
        <v>1500216.77</v>
      </c>
      <c r="G7" s="19">
        <v>2954312.62</v>
      </c>
      <c r="H7" s="45" t="str">
        <f>IF(Table2[[#This Row],[PAC]]="26300","IV-E","Non IV-E")</f>
        <v>Non IV-E</v>
      </c>
      <c r="I7" s="45" t="str">
        <f>_xlfn.CONCAT(Table2[[#This Row],[Catchment Area]],Table2[[#This Row],[Level of Care]],Table2[[#This Row],[IV-E]])</f>
        <v>2BlendedNon IV-E</v>
      </c>
      <c r="K7" s="4">
        <f t="shared" si="0"/>
        <v>45292</v>
      </c>
      <c r="L7" s="8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10">
        <v>0</v>
      </c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</row>
    <row r="8" spans="1:61" ht="15.75">
      <c r="A8" s="18" t="s">
        <v>19</v>
      </c>
      <c r="B8" s="18" t="s">
        <v>18</v>
      </c>
      <c r="C8" s="18" t="s">
        <v>29</v>
      </c>
      <c r="D8" s="19">
        <v>94989.62</v>
      </c>
      <c r="E8" s="19">
        <v>64694.930000000008</v>
      </c>
      <c r="F8" s="19">
        <v>23195.31</v>
      </c>
      <c r="G8" s="19">
        <v>182879.86</v>
      </c>
      <c r="H8" s="45" t="str">
        <f>IF(Table2[[#This Row],[PAC]]="26300","IV-E","Non IV-E")</f>
        <v>IV-E</v>
      </c>
      <c r="I8" s="45" t="str">
        <f>_xlfn.CONCAT(Table2[[#This Row],[Catchment Area]],Table2[[#This Row],[Level of Care]],Table2[[#This Row],[IV-E]])</f>
        <v>2ExceptionalIV-E</v>
      </c>
      <c r="K8" s="4">
        <f t="shared" si="0"/>
        <v>45323</v>
      </c>
      <c r="L8" s="8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10">
        <v>0</v>
      </c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</row>
    <row r="9" spans="1:61" ht="15.75">
      <c r="A9" s="18" t="s">
        <v>19</v>
      </c>
      <c r="B9" s="18" t="s">
        <v>18</v>
      </c>
      <c r="C9" s="18" t="s">
        <v>30</v>
      </c>
      <c r="D9" s="19"/>
      <c r="E9" s="19">
        <v>496683.92</v>
      </c>
      <c r="F9" s="19">
        <v>395319.2</v>
      </c>
      <c r="G9" s="19">
        <v>892003.12</v>
      </c>
      <c r="H9" s="45" t="str">
        <f>IF(Table2[[#This Row],[PAC]]="26300","IV-E","Non IV-E")</f>
        <v>Non IV-E</v>
      </c>
      <c r="I9" s="45" t="str">
        <f>_xlfn.CONCAT(Table2[[#This Row],[Catchment Area]],Table2[[#This Row],[Level of Care]],Table2[[#This Row],[IV-E]])</f>
        <v>2ExceptionalNon IV-E</v>
      </c>
      <c r="K9" s="4">
        <f t="shared" si="0"/>
        <v>45352</v>
      </c>
      <c r="L9" s="8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10">
        <v>0</v>
      </c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</row>
    <row r="10" spans="1:61" ht="15.75">
      <c r="A10" s="18" t="s">
        <v>20</v>
      </c>
      <c r="B10" s="18" t="s">
        <v>17</v>
      </c>
      <c r="C10" s="18" t="s">
        <v>29</v>
      </c>
      <c r="D10" s="19">
        <v>1947918.81</v>
      </c>
      <c r="E10" s="19">
        <v>1498287.9300000002</v>
      </c>
      <c r="F10" s="19">
        <v>112090.83</v>
      </c>
      <c r="G10" s="19">
        <v>3558297.5700000003</v>
      </c>
      <c r="H10" s="45" t="str">
        <f>IF(Table2[[#This Row],[PAC]]="26300","IV-E","Non IV-E")</f>
        <v>IV-E</v>
      </c>
      <c r="I10" s="45" t="str">
        <f>_xlfn.CONCAT(Table2[[#This Row],[Catchment Area]],Table2[[#This Row],[Level of Care]],Table2[[#This Row],[IV-E]])</f>
        <v>3BBlendedIV-E</v>
      </c>
      <c r="K10" s="4">
        <f t="shared" si="0"/>
        <v>45383</v>
      </c>
      <c r="L10" s="8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10">
        <v>0</v>
      </c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</row>
    <row r="11" spans="1:61">
      <c r="A11" s="18" t="s">
        <v>20</v>
      </c>
      <c r="B11" s="18" t="s">
        <v>17</v>
      </c>
      <c r="C11" s="18" t="s">
        <v>30</v>
      </c>
      <c r="D11" s="19"/>
      <c r="E11" s="19">
        <v>2942755.4</v>
      </c>
      <c r="F11" s="19">
        <v>2106355.92</v>
      </c>
      <c r="G11" s="19">
        <v>5049111.32</v>
      </c>
      <c r="H11" s="45" t="str">
        <f>IF(Table2[[#This Row],[PAC]]="26300","IV-E","Non IV-E")</f>
        <v>Non IV-E</v>
      </c>
      <c r="I11" s="45" t="str">
        <f>_xlfn.CONCAT(Table2[[#This Row],[Catchment Area]],Table2[[#This Row],[Level of Care]],Table2[[#This Row],[IV-E]])</f>
        <v>3BBlendedNon IV-E</v>
      </c>
      <c r="K11" s="4">
        <f t="shared" si="0"/>
        <v>45413</v>
      </c>
      <c r="L11" s="8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10">
        <v>0</v>
      </c>
    </row>
    <row r="12" spans="1:61">
      <c r="A12" s="18" t="s">
        <v>20</v>
      </c>
      <c r="B12" s="18" t="s">
        <v>18</v>
      </c>
      <c r="C12" s="18" t="s">
        <v>29</v>
      </c>
      <c r="D12" s="19">
        <v>14173.41</v>
      </c>
      <c r="E12" s="19">
        <v>11585.09</v>
      </c>
      <c r="F12" s="19">
        <v>1529.02</v>
      </c>
      <c r="G12" s="19">
        <v>27287.52</v>
      </c>
      <c r="H12" s="45" t="str">
        <f>IF(Table2[[#This Row],[PAC]]="26300","IV-E","Non IV-E")</f>
        <v>IV-E</v>
      </c>
      <c r="I12" s="45" t="str">
        <f>_xlfn.CONCAT(Table2[[#This Row],[Catchment Area]],Table2[[#This Row],[Level of Care]],Table2[[#This Row],[IV-E]])</f>
        <v>3BExceptionalIV-E</v>
      </c>
      <c r="K12" s="4">
        <f t="shared" si="0"/>
        <v>45444</v>
      </c>
      <c r="L12" s="8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10">
        <v>0</v>
      </c>
    </row>
    <row r="13" spans="1:61">
      <c r="A13" s="18" t="s">
        <v>20</v>
      </c>
      <c r="B13" s="18" t="s">
        <v>18</v>
      </c>
      <c r="C13" s="18" t="s">
        <v>30</v>
      </c>
      <c r="D13" s="19"/>
      <c r="E13" s="19">
        <v>627942.39999999991</v>
      </c>
      <c r="F13" s="19">
        <v>496565.08</v>
      </c>
      <c r="G13" s="19">
        <v>1124507.48</v>
      </c>
      <c r="H13" s="45" t="str">
        <f>IF(Table2[[#This Row],[PAC]]="26300","IV-E","Non IV-E")</f>
        <v>Non IV-E</v>
      </c>
      <c r="I13" s="45" t="str">
        <f>_xlfn.CONCAT(Table2[[#This Row],[Catchment Area]],Table2[[#This Row],[Level of Care]],Table2[[#This Row],[IV-E]])</f>
        <v>3BExceptionalNon IV-E</v>
      </c>
      <c r="K13" s="4">
        <f t="shared" si="0"/>
        <v>45474</v>
      </c>
      <c r="L13" s="8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10">
        <v>0</v>
      </c>
    </row>
    <row r="14" spans="1:61" ht="14.25" thickBot="1">
      <c r="A14" s="18" t="s">
        <v>43</v>
      </c>
      <c r="B14" s="18" t="s">
        <v>17</v>
      </c>
      <c r="C14" s="18" t="s">
        <v>29</v>
      </c>
      <c r="D14" s="19">
        <v>1911012.3</v>
      </c>
      <c r="E14" s="19">
        <v>1494891.06</v>
      </c>
      <c r="F14" s="19">
        <v>84976.400000000009</v>
      </c>
      <c r="G14" s="19">
        <v>3490879.7600000002</v>
      </c>
      <c r="H14" s="45" t="str">
        <f>IF(Table2[[#This Row],[PAC]]="26300","IV-E","Non IV-E")</f>
        <v>IV-E</v>
      </c>
      <c r="I14" s="45" t="str">
        <f>_xlfn.CONCAT(Table2[[#This Row],[Catchment Area]],Table2[[#This Row],[Level of Care]],Table2[[#This Row],[IV-E]])</f>
        <v>3EBlendedIV-E</v>
      </c>
      <c r="K14" s="11">
        <f t="shared" si="0"/>
        <v>45505</v>
      </c>
      <c r="L14" s="12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4">
        <v>0</v>
      </c>
    </row>
    <row r="15" spans="1:61" ht="14.25" thickBot="1">
      <c r="A15" s="18" t="s">
        <v>43</v>
      </c>
      <c r="B15" s="18" t="s">
        <v>17</v>
      </c>
      <c r="C15" s="18" t="s">
        <v>30</v>
      </c>
      <c r="D15" s="19"/>
      <c r="E15" s="19">
        <v>1302202.0399999998</v>
      </c>
      <c r="F15" s="19">
        <v>814969.98</v>
      </c>
      <c r="G15" s="19">
        <v>2117172.0199999996</v>
      </c>
      <c r="H15" s="45" t="str">
        <f>IF(Table2[[#This Row],[PAC]]="26300","IV-E","Non IV-E")</f>
        <v>Non IV-E</v>
      </c>
      <c r="I15" s="45" t="str">
        <f>_xlfn.CONCAT(Table2[[#This Row],[Catchment Area]],Table2[[#This Row],[Level of Care]],Table2[[#This Row],[IV-E]])</f>
        <v>3EBlendedNon IV-E</v>
      </c>
    </row>
    <row r="16" spans="1:61">
      <c r="A16" s="18" t="s">
        <v>43</v>
      </c>
      <c r="B16" s="18" t="s">
        <v>18</v>
      </c>
      <c r="C16" s="18" t="s">
        <v>29</v>
      </c>
      <c r="D16" s="19">
        <v>26174.559999999998</v>
      </c>
      <c r="E16" s="19">
        <v>20577.78</v>
      </c>
      <c r="F16" s="19">
        <v>3640.54</v>
      </c>
      <c r="G16" s="19">
        <v>50392.88</v>
      </c>
      <c r="H16" s="45" t="str">
        <f>IF(Table2[[#This Row],[PAC]]="26300","IV-E","Non IV-E")</f>
        <v>IV-E</v>
      </c>
      <c r="I16" s="45" t="str">
        <f>_xlfn.CONCAT(Table2[[#This Row],[Catchment Area]],Table2[[#This Row],[Level of Care]],Table2[[#This Row],[IV-E]])</f>
        <v>3EExceptionalIV-E</v>
      </c>
      <c r="K16" s="20"/>
      <c r="L16" s="67">
        <v>1</v>
      </c>
      <c r="M16" s="67"/>
      <c r="N16" s="67">
        <v>2</v>
      </c>
      <c r="O16" s="67"/>
      <c r="P16" s="67" t="s">
        <v>44</v>
      </c>
      <c r="Q16" s="67"/>
      <c r="R16" s="67" t="s">
        <v>43</v>
      </c>
      <c r="S16" s="67"/>
      <c r="T16" s="67">
        <v>4</v>
      </c>
      <c r="U16" s="67"/>
      <c r="V16" s="67">
        <v>5</v>
      </c>
      <c r="W16" s="67"/>
      <c r="X16" s="67" t="s">
        <v>21</v>
      </c>
      <c r="Y16" s="67"/>
      <c r="Z16" s="67" t="s">
        <v>42</v>
      </c>
      <c r="AA16" s="68"/>
    </row>
    <row r="17" spans="1:27" ht="14.25" thickBot="1">
      <c r="A17" s="18" t="s">
        <v>43</v>
      </c>
      <c r="B17" s="18" t="s">
        <v>18</v>
      </c>
      <c r="C17" s="18" t="s">
        <v>30</v>
      </c>
      <c r="D17" s="19"/>
      <c r="E17" s="19">
        <v>34211.68</v>
      </c>
      <c r="F17" s="19">
        <v>48707.240000000005</v>
      </c>
      <c r="G17" s="19">
        <v>82918.920000000013</v>
      </c>
      <c r="H17" s="45" t="str">
        <f>IF(Table2[[#This Row],[PAC]]="26300","IV-E","Non IV-E")</f>
        <v>Non IV-E</v>
      </c>
      <c r="I17" s="45" t="str">
        <f>_xlfn.CONCAT(Table2[[#This Row],[Catchment Area]],Table2[[#This Row],[Level of Care]],Table2[[#This Row],[IV-E]])</f>
        <v>3EExceptionalNon IV-E</v>
      </c>
      <c r="K17" s="25" t="s">
        <v>31</v>
      </c>
      <c r="L17" s="22" t="s">
        <v>17</v>
      </c>
      <c r="M17" s="22" t="s">
        <v>18</v>
      </c>
      <c r="N17" s="22" t="s">
        <v>17</v>
      </c>
      <c r="O17" s="22" t="s">
        <v>18</v>
      </c>
      <c r="P17" s="22" t="s">
        <v>17</v>
      </c>
      <c r="Q17" s="22" t="s">
        <v>18</v>
      </c>
      <c r="R17" s="22" t="s">
        <v>17</v>
      </c>
      <c r="S17" s="22" t="s">
        <v>18</v>
      </c>
      <c r="T17" s="22" t="s">
        <v>17</v>
      </c>
      <c r="U17" s="22" t="s">
        <v>18</v>
      </c>
      <c r="V17" s="22" t="s">
        <v>17</v>
      </c>
      <c r="W17" s="22" t="s">
        <v>18</v>
      </c>
      <c r="X17" s="22" t="s">
        <v>17</v>
      </c>
      <c r="Y17" s="22" t="s">
        <v>18</v>
      </c>
      <c r="Z17" s="22" t="s">
        <v>17</v>
      </c>
      <c r="AA17" s="23" t="s">
        <v>18</v>
      </c>
    </row>
    <row r="18" spans="1:27" ht="14.25" thickBot="1">
      <c r="A18" s="55" t="s">
        <v>47</v>
      </c>
      <c r="B18" s="18" t="s">
        <v>17</v>
      </c>
      <c r="C18" s="18" t="s">
        <v>29</v>
      </c>
      <c r="D18" s="19">
        <v>258819.49</v>
      </c>
      <c r="E18" s="19">
        <v>198789.97</v>
      </c>
      <c r="F18" s="19">
        <v>15180.64</v>
      </c>
      <c r="G18" s="19">
        <v>472790.1</v>
      </c>
      <c r="H18" s="45" t="str">
        <f>IF(Table2[[#This Row],[PAC]]="26300","IV-E","Non IV-E")</f>
        <v>IV-E</v>
      </c>
      <c r="I18" s="45" t="str">
        <f>_xlfn.CONCAT(Table2[[#This Row],[Catchment Area]],Table2[[#This Row],[Level of Care]],Table2[[#This Row],[IV-E]])</f>
        <v>4BlendedIV-E</v>
      </c>
      <c r="K18" s="28">
        <v>2024</v>
      </c>
      <c r="L18" s="30">
        <f>AVERAGE(L3:L5)</f>
        <v>225.4351703225806</v>
      </c>
      <c r="M18" s="31">
        <f t="shared" ref="M18:AA18" si="1">AVERAGE(M3:M5)</f>
        <v>13.487234587813623</v>
      </c>
      <c r="N18" s="31">
        <f t="shared" si="1"/>
        <v>93.435415125448017</v>
      </c>
      <c r="O18" s="31">
        <f t="shared" si="1"/>
        <v>16.644044336917563</v>
      </c>
      <c r="P18" s="31">
        <f t="shared" si="1"/>
        <v>189.89106229390677</v>
      </c>
      <c r="Q18" s="31">
        <f t="shared" si="1"/>
        <v>26.140047706093196</v>
      </c>
      <c r="R18" s="31">
        <f t="shared" si="1"/>
        <v>4.8168458781362</v>
      </c>
      <c r="S18" s="31">
        <f t="shared" si="1"/>
        <v>0</v>
      </c>
      <c r="T18" s="31">
        <f t="shared" si="1"/>
        <v>6.9226188888888887</v>
      </c>
      <c r="U18" s="31">
        <f t="shared" si="1"/>
        <v>0</v>
      </c>
      <c r="V18" s="31">
        <f t="shared" si="1"/>
        <v>0</v>
      </c>
      <c r="W18" s="31">
        <f t="shared" si="1"/>
        <v>0</v>
      </c>
      <c r="X18" s="31">
        <f t="shared" si="1"/>
        <v>0</v>
      </c>
      <c r="Y18" s="31">
        <f t="shared" si="1"/>
        <v>0</v>
      </c>
      <c r="Z18" s="31">
        <f t="shared" si="1"/>
        <v>158.13205265232978</v>
      </c>
      <c r="AA18" s="32">
        <f t="shared" si="1"/>
        <v>25.42471845878136</v>
      </c>
    </row>
    <row r="19" spans="1:27">
      <c r="A19" s="55" t="s">
        <v>47</v>
      </c>
      <c r="B19" s="18" t="s">
        <v>17</v>
      </c>
      <c r="C19" s="18" t="s">
        <v>30</v>
      </c>
      <c r="D19" s="19"/>
      <c r="E19" s="19">
        <v>325756.01</v>
      </c>
      <c r="F19" s="19">
        <v>294248.05</v>
      </c>
      <c r="G19" s="19">
        <v>620004.06000000006</v>
      </c>
      <c r="H19" s="45" t="str">
        <f>IF(Table2[[#This Row],[PAC]]="26300","IV-E","Non IV-E")</f>
        <v>Non IV-E</v>
      </c>
      <c r="I19" s="45" t="str">
        <f>_xlfn.CONCAT(Table2[[#This Row],[Catchment Area]],Table2[[#This Row],[Level of Care]],Table2[[#This Row],[IV-E]])</f>
        <v>4BlendedNon IV-E</v>
      </c>
    </row>
    <row r="20" spans="1:27">
      <c r="A20" s="55" t="s">
        <v>47</v>
      </c>
      <c r="B20" s="18" t="s">
        <v>18</v>
      </c>
      <c r="C20" s="18" t="s">
        <v>29</v>
      </c>
      <c r="D20" s="19"/>
      <c r="E20" s="19"/>
      <c r="F20" s="19"/>
      <c r="G20" s="19"/>
      <c r="H20" s="45" t="str">
        <f>IF(Table2[[#This Row],[PAC]]="26300","IV-E","Non IV-E")</f>
        <v>IV-E</v>
      </c>
      <c r="I20" s="45" t="str">
        <f>_xlfn.CONCAT(Table2[[#This Row],[Catchment Area]],Table2[[#This Row],[Level of Care]],Table2[[#This Row],[IV-E]])</f>
        <v>4ExceptionalIV-E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27">
      <c r="A21" s="55" t="s">
        <v>47</v>
      </c>
      <c r="B21" s="18" t="s">
        <v>18</v>
      </c>
      <c r="C21" s="18" t="s">
        <v>30</v>
      </c>
      <c r="D21" s="19"/>
      <c r="E21" s="19"/>
      <c r="F21" s="19"/>
      <c r="G21" s="19"/>
      <c r="H21" s="45" t="str">
        <f>IF(Table2[[#This Row],[PAC]]="26300","IV-E","Non IV-E")</f>
        <v>Non IV-E</v>
      </c>
      <c r="I21" s="45" t="str">
        <f>_xlfn.CONCAT(Table2[[#This Row],[Catchment Area]],Table2[[#This Row],[Level of Care]],Table2[[#This Row],[IV-E]])</f>
        <v>4ExceptionalNon IV-E</v>
      </c>
    </row>
    <row r="22" spans="1:27">
      <c r="A22" s="55" t="s">
        <v>48</v>
      </c>
      <c r="B22" s="18" t="s">
        <v>17</v>
      </c>
      <c r="C22" s="18" t="s">
        <v>29</v>
      </c>
      <c r="D22" s="19">
        <v>126723.78</v>
      </c>
      <c r="E22" s="19">
        <v>98716.05</v>
      </c>
      <c r="F22" s="19">
        <v>6048.7199999999993</v>
      </c>
      <c r="G22" s="19">
        <v>231488.55000000002</v>
      </c>
      <c r="H22" s="45" t="str">
        <f>IF(Table2[[#This Row],[PAC]]="26300","IV-E","Non IV-E")</f>
        <v>IV-E</v>
      </c>
      <c r="I22" s="45" t="str">
        <f>_xlfn.CONCAT(Table2[[#This Row],[Catchment Area]],Table2[[#This Row],[Level of Care]],Table2[[#This Row],[IV-E]])</f>
        <v>5BlendedIV-E</v>
      </c>
    </row>
    <row r="23" spans="1:27">
      <c r="A23" s="55" t="s">
        <v>48</v>
      </c>
      <c r="B23" s="18" t="s">
        <v>17</v>
      </c>
      <c r="C23" s="18" t="s">
        <v>30</v>
      </c>
      <c r="D23" s="19"/>
      <c r="E23" s="19">
        <v>82427.320000000007</v>
      </c>
      <c r="F23" s="19">
        <v>35106.480000000003</v>
      </c>
      <c r="G23" s="19">
        <v>117533.80000000002</v>
      </c>
      <c r="H23" s="45" t="str">
        <f>IF(Table2[[#This Row],[PAC]]="26300","IV-E","Non IV-E")</f>
        <v>Non IV-E</v>
      </c>
      <c r="I23" s="45" t="str">
        <f>_xlfn.CONCAT(Table2[[#This Row],[Catchment Area]],Table2[[#This Row],[Level of Care]],Table2[[#This Row],[IV-E]])</f>
        <v>5BlendedNon IV-E</v>
      </c>
    </row>
    <row r="24" spans="1:27">
      <c r="A24" s="55" t="s">
        <v>48</v>
      </c>
      <c r="B24" s="18" t="s">
        <v>18</v>
      </c>
      <c r="C24" s="18" t="s">
        <v>29</v>
      </c>
      <c r="D24" s="19"/>
      <c r="E24" s="19"/>
      <c r="F24" s="19"/>
      <c r="G24" s="19"/>
      <c r="H24" s="45" t="str">
        <f>IF(Table2[[#This Row],[PAC]]="26300","IV-E","Non IV-E")</f>
        <v>IV-E</v>
      </c>
      <c r="I24" s="45" t="str">
        <f>_xlfn.CONCAT(Table2[[#This Row],[Catchment Area]],Table2[[#This Row],[Level of Care]],Table2[[#This Row],[IV-E]])</f>
        <v>5ExceptionalIV-E</v>
      </c>
    </row>
    <row r="25" spans="1:27">
      <c r="A25" s="55" t="s">
        <v>48</v>
      </c>
      <c r="B25" s="18" t="s">
        <v>18</v>
      </c>
      <c r="C25" s="18" t="s">
        <v>30</v>
      </c>
      <c r="D25" s="19"/>
      <c r="E25" s="19"/>
      <c r="F25" s="19"/>
      <c r="G25" s="19"/>
      <c r="H25" s="45" t="str">
        <f>IF(Table2[[#This Row],[PAC]]="26300","IV-E","Non IV-E")</f>
        <v>Non IV-E</v>
      </c>
      <c r="I25" s="45" t="str">
        <f>_xlfn.CONCAT(Table2[[#This Row],[Catchment Area]],Table2[[#This Row],[Level of Care]],Table2[[#This Row],[IV-E]])</f>
        <v>5ExceptionalNon IV-E</v>
      </c>
    </row>
    <row r="26" spans="1:27">
      <c r="A26" s="18" t="s">
        <v>21</v>
      </c>
      <c r="B26" s="18" t="s">
        <v>17</v>
      </c>
      <c r="C26" s="18" t="s">
        <v>29</v>
      </c>
      <c r="D26" s="19"/>
      <c r="E26" s="19"/>
      <c r="F26" s="19"/>
      <c r="G26" s="19"/>
      <c r="H26" s="45" t="str">
        <f>IF(Table2[[#This Row],[PAC]]="26300","IV-E","Non IV-E")</f>
        <v>IV-E</v>
      </c>
      <c r="I26" s="45" t="str">
        <f>_xlfn.CONCAT(Table2[[#This Row],[Catchment Area]],Table2[[#This Row],[Level of Care]],Table2[[#This Row],[IV-E]])</f>
        <v>8ABlendedIV-E</v>
      </c>
    </row>
    <row r="27" spans="1:27">
      <c r="A27" s="18" t="s">
        <v>21</v>
      </c>
      <c r="B27" s="18" t="s">
        <v>17</v>
      </c>
      <c r="C27" s="18" t="s">
        <v>30</v>
      </c>
      <c r="D27" s="19"/>
      <c r="E27" s="19"/>
      <c r="F27" s="19"/>
      <c r="G27" s="19"/>
      <c r="H27" s="45" t="str">
        <f>IF(Table2[[#This Row],[PAC]]="26300","IV-E","Non IV-E")</f>
        <v>Non IV-E</v>
      </c>
      <c r="I27" s="45" t="str">
        <f>_xlfn.CONCAT(Table2[[#This Row],[Catchment Area]],Table2[[#This Row],[Level of Care]],Table2[[#This Row],[IV-E]])</f>
        <v>8ABlendedNon IV-E</v>
      </c>
    </row>
    <row r="28" spans="1:27">
      <c r="A28" s="18" t="s">
        <v>21</v>
      </c>
      <c r="B28" s="18" t="s">
        <v>18</v>
      </c>
      <c r="C28" s="18" t="s">
        <v>29</v>
      </c>
      <c r="D28" s="19"/>
      <c r="E28" s="19"/>
      <c r="F28" s="19"/>
      <c r="G28" s="19"/>
      <c r="H28" s="45" t="str">
        <f>IF(Table2[[#This Row],[PAC]]="26300","IV-E","Non IV-E")</f>
        <v>IV-E</v>
      </c>
      <c r="I28" s="45" t="str">
        <f>_xlfn.CONCAT(Table2[[#This Row],[Catchment Area]],Table2[[#This Row],[Level of Care]],Table2[[#This Row],[IV-E]])</f>
        <v>8AExceptionalIV-E</v>
      </c>
    </row>
    <row r="29" spans="1:27">
      <c r="A29" s="18" t="s">
        <v>21</v>
      </c>
      <c r="B29" s="18" t="s">
        <v>18</v>
      </c>
      <c r="C29" s="18" t="s">
        <v>30</v>
      </c>
      <c r="D29" s="19"/>
      <c r="E29" s="19"/>
      <c r="F29" s="19"/>
      <c r="G29" s="19"/>
      <c r="H29" s="45" t="str">
        <f>IF(Table2[[#This Row],[PAC]]="26300","IV-E","Non IV-E")</f>
        <v>Non IV-E</v>
      </c>
      <c r="I29" s="45" t="str">
        <f>_xlfn.CONCAT(Table2[[#This Row],[Catchment Area]],Table2[[#This Row],[Level of Care]],Table2[[#This Row],[IV-E]])</f>
        <v>8AExceptionalNon IV-E</v>
      </c>
    </row>
    <row r="30" spans="1:27">
      <c r="A30" s="18" t="s">
        <v>42</v>
      </c>
      <c r="B30" s="18" t="s">
        <v>17</v>
      </c>
      <c r="C30" s="18" t="s">
        <v>29</v>
      </c>
      <c r="D30" s="19">
        <v>651928.58000000007</v>
      </c>
      <c r="E30" s="19">
        <v>502227.46</v>
      </c>
      <c r="F30" s="19">
        <v>36733.35</v>
      </c>
      <c r="G30" s="19">
        <v>1190889.3900000001</v>
      </c>
      <c r="H30" s="45" t="str">
        <f>IF(Table2[[#This Row],[PAC]]="26300","IV-E","Non IV-E")</f>
        <v>IV-E</v>
      </c>
      <c r="I30" s="45" t="str">
        <f>_xlfn.CONCAT(Table2[[#This Row],[Catchment Area]],Table2[[#This Row],[Level of Care]],Table2[[#This Row],[IV-E]])</f>
        <v>8BBlendedIV-E</v>
      </c>
    </row>
    <row r="31" spans="1:27">
      <c r="A31" s="18" t="s">
        <v>42</v>
      </c>
      <c r="B31" s="18" t="s">
        <v>17</v>
      </c>
      <c r="C31" s="18" t="s">
        <v>30</v>
      </c>
      <c r="D31" s="19"/>
      <c r="E31" s="19">
        <v>1150665.52</v>
      </c>
      <c r="F31" s="19">
        <v>1176825.8099999998</v>
      </c>
      <c r="G31" s="19">
        <v>2327491.33</v>
      </c>
      <c r="H31" s="45" t="str">
        <f>IF(Table2[[#This Row],[PAC]]="26300","IV-E","Non IV-E")</f>
        <v>Non IV-E</v>
      </c>
      <c r="I31" s="45" t="str">
        <f>_xlfn.CONCAT(Table2[[#This Row],[Catchment Area]],Table2[[#This Row],[Level of Care]],Table2[[#This Row],[IV-E]])</f>
        <v>8BBlendedNon IV-E</v>
      </c>
    </row>
    <row r="32" spans="1:27">
      <c r="A32" s="18" t="s">
        <v>42</v>
      </c>
      <c r="B32" s="18" t="s">
        <v>18</v>
      </c>
      <c r="C32" s="18" t="s">
        <v>29</v>
      </c>
      <c r="D32" s="19">
        <v>33378.58</v>
      </c>
      <c r="E32" s="19">
        <v>23602.83</v>
      </c>
      <c r="F32" s="19">
        <v>7281.07</v>
      </c>
      <c r="G32" s="19">
        <v>64262.48</v>
      </c>
      <c r="H32" s="45" t="str">
        <f>IF(Table2[[#This Row],[PAC]]="26300","IV-E","Non IV-E")</f>
        <v>IV-E</v>
      </c>
      <c r="I32" s="45" t="str">
        <f>_xlfn.CONCAT(Table2[[#This Row],[Catchment Area]],Table2[[#This Row],[Level of Care]],Table2[[#This Row],[IV-E]])</f>
        <v>8BExceptionalIV-E</v>
      </c>
    </row>
    <row r="33" spans="1:9">
      <c r="A33" s="18" t="s">
        <v>42</v>
      </c>
      <c r="B33" s="18" t="s">
        <v>18</v>
      </c>
      <c r="C33" s="18" t="s">
        <v>30</v>
      </c>
      <c r="D33" s="19"/>
      <c r="E33" s="19">
        <v>678166.6</v>
      </c>
      <c r="F33" s="19">
        <v>417485.6</v>
      </c>
      <c r="G33" s="19">
        <v>1095652.2</v>
      </c>
      <c r="H33" s="45" t="str">
        <f>IF(Table2[[#This Row],[PAC]]="26300","IV-E","Non IV-E")</f>
        <v>Non IV-E</v>
      </c>
      <c r="I33" s="45" t="str">
        <f>_xlfn.CONCAT(Table2[[#This Row],[Catchment Area]],Table2[[#This Row],[Level of Care]],Table2[[#This Row],[IV-E]])</f>
        <v>8BExceptionalNon IV-E</v>
      </c>
    </row>
    <row r="36" spans="1:9">
      <c r="A36" s="17" t="s">
        <v>15</v>
      </c>
      <c r="B36" s="17" t="s">
        <v>0</v>
      </c>
      <c r="C36" s="17" t="s">
        <v>28</v>
      </c>
      <c r="D36" s="17" t="s">
        <v>1</v>
      </c>
      <c r="E36" s="17" t="s">
        <v>2</v>
      </c>
      <c r="F36" s="17" t="s">
        <v>4</v>
      </c>
      <c r="G36" s="17" t="s">
        <v>5</v>
      </c>
      <c r="H36" s="17" t="s">
        <v>26</v>
      </c>
      <c r="I36" s="17" t="s">
        <v>39</v>
      </c>
    </row>
    <row r="37" spans="1:9">
      <c r="A37" s="18" t="s">
        <v>16</v>
      </c>
      <c r="B37" s="18" t="s">
        <v>17</v>
      </c>
      <c r="C37" s="18" t="s">
        <v>29</v>
      </c>
      <c r="D37" s="45">
        <f>IFERROR(INDEX(Table2[Entitlements],MATCH(Table24[[#This Row],[Alias]:[Alias]],Table2[[Alias]:[Alias]],0))*INDEX($AD$5:$BI$5,1,MATCH(Table24[[#This Row],[Alias]:[Alias]],$AD$4:$BI$4,0)),0)</f>
        <v>96202.798207848929</v>
      </c>
      <c r="E37" s="45">
        <f>IFERROR(INDEX(Table2[GR],MATCH(Table24[[#This Row],[Alias]:[Alias]],Table2[[Alias]:[Alias]],0))*INDEX($AD$5:$BI$5,1,MATCH(Table24[[#This Row],[Alias]:[Alias]],$AD$4:$BI$4,0)),0)</f>
        <v>74613.02950141624</v>
      </c>
      <c r="F37" s="45">
        <f>IFERROR(INDEX(Table2[TANF],MATCH(Table24[[#This Row],[Alias]:[Alias]],Table2[[Alias]:[Alias]],0))*INDEX($AD$5:$BI$5,1,MATCH(Table24[[#This Row],[Alias]:[Alias]],$AD$4:$BI$4,0)),0)</f>
        <v>4919.5017786623539</v>
      </c>
      <c r="G37" s="45">
        <f>IFERROR(INDEX(Table2[Grand Total],MATCH(Table24[[#This Row],[Alias]:[Alias]],Table2[[Alias]:[Alias]],0))*INDEX($AD$5:$BI$5,1,MATCH(Table24[[#This Row],[Alias]:[Alias]],$AD$4:$BI$4,0)),0)</f>
        <v>175735.32948792752</v>
      </c>
      <c r="H37" s="45" t="str">
        <f>IF(Table24[[#This Row],[PAC]]="26300","IV-E","Non IV-E")</f>
        <v>IV-E</v>
      </c>
      <c r="I37" s="45" t="str">
        <f>_xlfn.CONCAT(Table24[[#This Row],[Catchment Area]],Table24[[#This Row],[Level of Care]],Table24[[#This Row],[IV-E]])</f>
        <v>1BlendedIV-E</v>
      </c>
    </row>
    <row r="38" spans="1:9">
      <c r="A38" s="18" t="s">
        <v>16</v>
      </c>
      <c r="B38" s="18" t="s">
        <v>17</v>
      </c>
      <c r="C38" s="18" t="s">
        <v>30</v>
      </c>
      <c r="D38" s="45">
        <f>IFERROR(INDEX(Table2[Entitlements],MATCH(Table24[[#This Row],[Alias]:[Alias]],Table2[[Alias]:[Alias]],0))*INDEX($AD$5:$BI$5,1,MATCH(Table24[[#This Row],[Alias]:[Alias]],$AD$4:$BI$4,0)),0)</f>
        <v>0</v>
      </c>
      <c r="E38" s="45">
        <f>IFERROR(INDEX(Table2[GR],MATCH(Table24[[#This Row],[Alias]:[Alias]],Table2[[Alias]:[Alias]],0))*INDEX($AD$5:$BI$5,1,MATCH(Table24[[#This Row],[Alias]:[Alias]],$AD$4:$BI$4,0)),0)</f>
        <v>996531.68560873799</v>
      </c>
      <c r="F38" s="45">
        <f>IFERROR(INDEX(Table2[TANF],MATCH(Table24[[#This Row],[Alias]:[Alias]],Table2[[Alias]:[Alias]],0))*INDEX($AD$5:$BI$5,1,MATCH(Table24[[#This Row],[Alias]:[Alias]],$AD$4:$BI$4,0)),0)</f>
        <v>670914.52651365439</v>
      </c>
      <c r="G38" s="45">
        <f>IFERROR(INDEX(Table2[Grand Total],MATCH(Table24[[#This Row],[Alias]:[Alias]],Table2[[Alias]:[Alias]],0))*INDEX($AD$5:$BI$5,1,MATCH(Table24[[#This Row],[Alias]:[Alias]],$AD$4:$BI$4,0)),0)</f>
        <v>1667446.2121223924</v>
      </c>
      <c r="H38" s="45" t="str">
        <f>IF(Table24[[#This Row],[PAC]]="26300","IV-E","Non IV-E")</f>
        <v>Non IV-E</v>
      </c>
      <c r="I38" s="45" t="str">
        <f>_xlfn.CONCAT(Table24[[#This Row],[Catchment Area]],Table24[[#This Row],[Level of Care]],Table24[[#This Row],[IV-E]])</f>
        <v>1BlendedNon IV-E</v>
      </c>
    </row>
    <row r="39" spans="1:9">
      <c r="A39" s="18" t="s">
        <v>16</v>
      </c>
      <c r="B39" s="18" t="s">
        <v>18</v>
      </c>
      <c r="C39" s="18" t="s">
        <v>29</v>
      </c>
      <c r="D39" s="45">
        <f>IFERROR(INDEX(Table2[Entitlements],MATCH(Table24[[#This Row],[Alias]:[Alias]],Table2[[Alias]:[Alias]],0))*INDEX($AD$5:$BI$5,1,MATCH(Table24[[#This Row],[Alias]:[Alias]],$AD$4:$BI$4,0)),0)</f>
        <v>1800.5651573571013</v>
      </c>
      <c r="E39" s="45">
        <f>IFERROR(INDEX(Table2[GR],MATCH(Table24[[#This Row],[Alias]:[Alias]],Table2[[Alias]:[Alias]],0))*INDEX($AD$5:$BI$5,1,MATCH(Table24[[#This Row],[Alias]:[Alias]],$AD$4:$BI$4,0)),0)</f>
        <v>1227.6986729936061</v>
      </c>
      <c r="F39" s="45">
        <f>IFERROR(INDEX(Table2[TANF],MATCH(Table24[[#This Row],[Alias]:[Alias]],Table2[[Alias]:[Alias]],0))*INDEX($AD$5:$BI$5,1,MATCH(Table24[[#This Row],[Alias]:[Alias]],$AD$4:$BI$4,0)),0)</f>
        <v>438.29627189304398</v>
      </c>
      <c r="G39" s="45">
        <f>IFERROR(INDEX(Table2[Grand Total],MATCH(Table24[[#This Row],[Alias]:[Alias]],Table2[[Alias]:[Alias]],0))*INDEX($AD$5:$BI$5,1,MATCH(Table24[[#This Row],[Alias]:[Alias]],$AD$4:$BI$4,0)),0)</f>
        <v>3466.5601022437509</v>
      </c>
      <c r="H39" s="45" t="str">
        <f>IF(Table24[[#This Row],[PAC]]="26300","IV-E","Non IV-E")</f>
        <v>IV-E</v>
      </c>
      <c r="I39" s="45" t="str">
        <f>_xlfn.CONCAT(Table24[[#This Row],[Catchment Area]],Table24[[#This Row],[Level of Care]],Table24[[#This Row],[IV-E]])</f>
        <v>1ExceptionalIV-E</v>
      </c>
    </row>
    <row r="40" spans="1:9">
      <c r="A40" s="18" t="s">
        <v>16</v>
      </c>
      <c r="B40" s="18" t="s">
        <v>18</v>
      </c>
      <c r="C40" s="18" t="s">
        <v>30</v>
      </c>
      <c r="D40" s="45">
        <f>IFERROR(INDEX(Table2[Entitlements],MATCH(Table24[[#This Row],[Alias]:[Alias]],Table2[[Alias]:[Alias]],0))*INDEX($AD$5:$BI$5,1,MATCH(Table24[[#This Row],[Alias]:[Alias]],$AD$4:$BI$4,0)),0)</f>
        <v>0</v>
      </c>
      <c r="E40" s="45">
        <f>IFERROR(INDEX(Table2[GR],MATCH(Table24[[#This Row],[Alias]:[Alias]],Table2[[Alias]:[Alias]],0))*INDEX($AD$5:$BI$5,1,MATCH(Table24[[#This Row],[Alias]:[Alias]],$AD$4:$BI$4,0)),0)</f>
        <v>259854.12330779794</v>
      </c>
      <c r="F40" s="45">
        <f>IFERROR(INDEX(Table2[TANF],MATCH(Table24[[#This Row],[Alias]:[Alias]],Table2[[Alias]:[Alias]],0))*INDEX($AD$5:$BI$5,1,MATCH(Table24[[#This Row],[Alias]:[Alias]],$AD$4:$BI$4,0)),0)</f>
        <v>79253.842682454473</v>
      </c>
      <c r="G40" s="45">
        <f>IFERROR(INDEX(Table2[Grand Total],MATCH(Table24[[#This Row],[Alias]:[Alias]],Table2[[Alias]:[Alias]],0))*INDEX($AD$5:$BI$5,1,MATCH(Table24[[#This Row],[Alias]:[Alias]],$AD$4:$BI$4,0)),0)</f>
        <v>339107.96599025244</v>
      </c>
      <c r="H40" s="45" t="str">
        <f>IF(Table24[[#This Row],[PAC]]="26300","IV-E","Non IV-E")</f>
        <v>Non IV-E</v>
      </c>
      <c r="I40" s="45" t="str">
        <f>_xlfn.CONCAT(Table24[[#This Row],[Catchment Area]],Table24[[#This Row],[Level of Care]],Table24[[#This Row],[IV-E]])</f>
        <v>1ExceptionalNon IV-E</v>
      </c>
    </row>
    <row r="41" spans="1:9">
      <c r="A41" s="18" t="s">
        <v>19</v>
      </c>
      <c r="B41" s="18" t="s">
        <v>17</v>
      </c>
      <c r="C41" s="18" t="s">
        <v>29</v>
      </c>
      <c r="D41" s="45">
        <f>IFERROR(INDEX(Table2[Entitlements],MATCH(Table24[[#This Row],[Alias]:[Alias]],Table2[[Alias]:[Alias]],0))*INDEX($AD$5:$BI$5,1,MATCH(Table24[[#This Row],[Alias]:[Alias]],$AD$4:$BI$4,0)),0)</f>
        <v>28727.150796579914</v>
      </c>
      <c r="E41" s="45">
        <f>IFERROR(INDEX(Table2[GR],MATCH(Table24[[#This Row],[Alias]:[Alias]],Table2[[Alias]:[Alias]],0))*INDEX($AD$5:$BI$5,1,MATCH(Table24[[#This Row],[Alias]:[Alias]],$AD$4:$BI$4,0)),0)</f>
        <v>22154.929883347584</v>
      </c>
      <c r="F41" s="45">
        <f>IFERROR(INDEX(Table2[TANF],MATCH(Table24[[#This Row],[Alias]:[Alias]],Table2[[Alias]:[Alias]],0))*INDEX($AD$5:$BI$5,1,MATCH(Table24[[#This Row],[Alias]:[Alias]],$AD$4:$BI$4,0)),0)</f>
        <v>1594.3128165407386</v>
      </c>
      <c r="G41" s="45">
        <f>IFERROR(INDEX(Table2[Grand Total],MATCH(Table24[[#This Row],[Alias]:[Alias]],Table2[[Alias]:[Alias]],0))*INDEX($AD$5:$BI$5,1,MATCH(Table24[[#This Row],[Alias]:[Alias]],$AD$4:$BI$4,0)),0)</f>
        <v>52476.393496468234</v>
      </c>
      <c r="H41" s="45" t="str">
        <f>IF(Table24[[#This Row],[PAC]]="26300","IV-E","Non IV-E")</f>
        <v>IV-E</v>
      </c>
      <c r="I41" s="45" t="str">
        <f>_xlfn.CONCAT(Table24[[#This Row],[Catchment Area]],Table24[[#This Row],[Level of Care]],Table24[[#This Row],[IV-E]])</f>
        <v>2BlendedIV-E</v>
      </c>
    </row>
    <row r="42" spans="1:9">
      <c r="A42" s="18" t="s">
        <v>19</v>
      </c>
      <c r="B42" s="18" t="s">
        <v>17</v>
      </c>
      <c r="C42" s="18" t="s">
        <v>30</v>
      </c>
      <c r="D42" s="45">
        <f>IFERROR(INDEX(Table2[Entitlements],MATCH(Table24[[#This Row],[Alias]:[Alias]],Table2[[Alias]:[Alias]],0))*INDEX($AD$5:$BI$5,1,MATCH(Table24[[#This Row],[Alias]:[Alias]],$AD$4:$BI$4,0)),0)</f>
        <v>0</v>
      </c>
      <c r="E42" s="45">
        <f>IFERROR(INDEX(Table2[GR],MATCH(Table24[[#This Row],[Alias]:[Alias]],Table2[[Alias]:[Alias]],0))*INDEX($AD$5:$BI$5,1,MATCH(Table24[[#This Row],[Alias]:[Alias]],$AD$4:$BI$4,0)),0)</f>
        <v>365673.68408748775</v>
      </c>
      <c r="F42" s="45">
        <f>IFERROR(INDEX(Table2[TANF],MATCH(Table24[[#This Row],[Alias]:[Alias]],Table2[[Alias]:[Alias]],0))*INDEX($AD$5:$BI$5,1,MATCH(Table24[[#This Row],[Alias]:[Alias]],$AD$4:$BI$4,0)),0)</f>
        <v>377272.09882053599</v>
      </c>
      <c r="G42" s="45">
        <f>IFERROR(INDEX(Table2[Grand Total],MATCH(Table24[[#This Row],[Alias]:[Alias]],Table2[[Alias]:[Alias]],0))*INDEX($AD$5:$BI$5,1,MATCH(Table24[[#This Row],[Alias]:[Alias]],$AD$4:$BI$4,0)),0)</f>
        <v>742945.7829080238</v>
      </c>
      <c r="H42" s="45" t="str">
        <f>IF(Table24[[#This Row],[PAC]]="26300","IV-E","Non IV-E")</f>
        <v>Non IV-E</v>
      </c>
      <c r="I42" s="45" t="str">
        <f>_xlfn.CONCAT(Table24[[#This Row],[Catchment Area]],Table24[[#This Row],[Level of Care]],Table24[[#This Row],[IV-E]])</f>
        <v>2BlendedNon IV-E</v>
      </c>
    </row>
    <row r="43" spans="1:9">
      <c r="A43" s="18" t="s">
        <v>19</v>
      </c>
      <c r="B43" s="18" t="s">
        <v>18</v>
      </c>
      <c r="C43" s="18" t="s">
        <v>29</v>
      </c>
      <c r="D43" s="45">
        <f>IFERROR(INDEX(Table2[Entitlements],MATCH(Table24[[#This Row],[Alias]:[Alias]],Table2[[Alias]:[Alias]],0))*INDEX($AD$5:$BI$5,1,MATCH(Table24[[#This Row],[Alias]:[Alias]],$AD$4:$BI$4,0)),0)</f>
        <v>9376.7000988571435</v>
      </c>
      <c r="E43" s="45">
        <f>IFERROR(INDEX(Table2[GR],MATCH(Table24[[#This Row],[Alias]:[Alias]],Table2[[Alias]:[Alias]],0))*INDEX($AD$5:$BI$5,1,MATCH(Table24[[#This Row],[Alias]:[Alias]],$AD$4:$BI$4,0)),0)</f>
        <v>6386.2236371358904</v>
      </c>
      <c r="F43" s="45">
        <f>IFERROR(INDEX(Table2[TANF],MATCH(Table24[[#This Row],[Alias]:[Alias]],Table2[[Alias]:[Alias]],0))*INDEX($AD$5:$BI$5,1,MATCH(Table24[[#This Row],[Alias]:[Alias]],$AD$4:$BI$4,0)),0)</f>
        <v>2289.6761306132407</v>
      </c>
      <c r="G43" s="45">
        <f>IFERROR(INDEX(Table2[Grand Total],MATCH(Table24[[#This Row],[Alias]:[Alias]],Table2[[Alias]:[Alias]],0))*INDEX($AD$5:$BI$5,1,MATCH(Table24[[#This Row],[Alias]:[Alias]],$AD$4:$BI$4,0)),0)</f>
        <v>18052.599866606273</v>
      </c>
      <c r="H43" s="45" t="str">
        <f>IF(Table24[[#This Row],[PAC]]="26300","IV-E","Non IV-E")</f>
        <v>IV-E</v>
      </c>
      <c r="I43" s="45" t="str">
        <f>_xlfn.CONCAT(Table24[[#This Row],[Catchment Area]],Table24[[#This Row],[Level of Care]],Table24[[#This Row],[IV-E]])</f>
        <v>2ExceptionalIV-E</v>
      </c>
    </row>
    <row r="44" spans="1:9">
      <c r="A44" s="18" t="s">
        <v>19</v>
      </c>
      <c r="B44" s="18" t="s">
        <v>18</v>
      </c>
      <c r="C44" s="18" t="s">
        <v>30</v>
      </c>
      <c r="D44" s="45">
        <f>IFERROR(INDEX(Table2[Entitlements],MATCH(Table24[[#This Row],[Alias]:[Alias]],Table2[[Alias]:[Alias]],0))*INDEX($AD$5:$BI$5,1,MATCH(Table24[[#This Row],[Alias]:[Alias]],$AD$4:$BI$4,0)),0)</f>
        <v>0</v>
      </c>
      <c r="E44" s="45">
        <f>IFERROR(INDEX(Table2[GR],MATCH(Table24[[#This Row],[Alias]:[Alias]],Table2[[Alias]:[Alias]],0))*INDEX($AD$5:$BI$5,1,MATCH(Table24[[#This Row],[Alias]:[Alias]],$AD$4:$BI$4,0)),0)</f>
        <v>244924.5110199117</v>
      </c>
      <c r="F44" s="45">
        <f>IFERROR(INDEX(Table2[TANF],MATCH(Table24[[#This Row],[Alias]:[Alias]],Table2[[Alias]:[Alias]],0))*INDEX($AD$5:$BI$5,1,MATCH(Table24[[#This Row],[Alias]:[Alias]],$AD$4:$BI$4,0)),0)</f>
        <v>194939.59409191803</v>
      </c>
      <c r="G44" s="45">
        <f>IFERROR(INDEX(Table2[Grand Total],MATCH(Table24[[#This Row],[Alias]:[Alias]],Table2[[Alias]:[Alias]],0))*INDEX($AD$5:$BI$5,1,MATCH(Table24[[#This Row],[Alias]:[Alias]],$AD$4:$BI$4,0)),0)</f>
        <v>439864.10511182976</v>
      </c>
      <c r="H44" s="45" t="str">
        <f>IF(Table24[[#This Row],[PAC]]="26300","IV-E","Non IV-E")</f>
        <v>Non IV-E</v>
      </c>
      <c r="I44" s="45" t="str">
        <f>_xlfn.CONCAT(Table24[[#This Row],[Catchment Area]],Table24[[#This Row],[Level of Care]],Table24[[#This Row],[IV-E]])</f>
        <v>2ExceptionalNon IV-E</v>
      </c>
    </row>
    <row r="45" spans="1:9">
      <c r="A45" s="18" t="s">
        <v>20</v>
      </c>
      <c r="B45" s="18" t="s">
        <v>17</v>
      </c>
      <c r="C45" s="18" t="s">
        <v>29</v>
      </c>
      <c r="D45" s="45">
        <f>IFERROR(INDEX(Table2[Entitlements],MATCH(Table24[[#This Row],[Alias]:[Alias]],Table2[[Alias]:[Alias]],0))*INDEX($AD$5:$BI$5,1,MATCH(Table24[[#This Row],[Alias]:[Alias]],$AD$4:$BI$4,0)),0)</f>
        <v>120065.40442513618</v>
      </c>
      <c r="E45" s="45">
        <f>IFERROR(INDEX(Table2[GR],MATCH(Table24[[#This Row],[Alias]:[Alias]],Table2[[Alias]:[Alias]],0))*INDEX($AD$5:$BI$5,1,MATCH(Table24[[#This Row],[Alias]:[Alias]],$AD$4:$BI$4,0)),0)</f>
        <v>92351.152079459687</v>
      </c>
      <c r="F45" s="45">
        <f>IFERROR(INDEX(Table2[TANF],MATCH(Table24[[#This Row],[Alias]:[Alias]],Table2[[Alias]:[Alias]],0))*INDEX($AD$5:$BI$5,1,MATCH(Table24[[#This Row],[Alias]:[Alias]],$AD$4:$BI$4,0)),0)</f>
        <v>6909.030688142072</v>
      </c>
      <c r="G45" s="45">
        <f>IFERROR(INDEX(Table2[Grand Total],MATCH(Table24[[#This Row],[Alias]:[Alias]],Table2[[Alias]:[Alias]],0))*INDEX($AD$5:$BI$5,1,MATCH(Table24[[#This Row],[Alias]:[Alias]],$AD$4:$BI$4,0)),0)</f>
        <v>219325.58719273793</v>
      </c>
      <c r="H45" s="45" t="str">
        <f>IF(Table24[[#This Row],[PAC]]="26300","IV-E","Non IV-E")</f>
        <v>IV-E</v>
      </c>
      <c r="I45" s="45" t="str">
        <f>_xlfn.CONCAT(Table24[[#This Row],[Catchment Area]],Table24[[#This Row],[Level of Care]],Table24[[#This Row],[IV-E]])</f>
        <v>3BBlendedIV-E</v>
      </c>
    </row>
    <row r="46" spans="1:9">
      <c r="A46" s="18" t="s">
        <v>20</v>
      </c>
      <c r="B46" s="18" t="s">
        <v>17</v>
      </c>
      <c r="C46" s="18" t="s">
        <v>30</v>
      </c>
      <c r="D46" s="45">
        <f>IFERROR(INDEX(Table2[Entitlements],MATCH(Table24[[#This Row],[Alias]:[Alias]],Table2[[Alias]:[Alias]],0))*INDEX($AD$5:$BI$5,1,MATCH(Table24[[#This Row],[Alias]:[Alias]],$AD$4:$BI$4,0)),0)</f>
        <v>0</v>
      </c>
      <c r="E46" s="45">
        <f>IFERROR(INDEX(Table2[GR],MATCH(Table24[[#This Row],[Alias]:[Alias]],Table2[[Alias]:[Alias]],0))*INDEX($AD$5:$BI$5,1,MATCH(Table24[[#This Row],[Alias]:[Alias]],$AD$4:$BI$4,0)),0)</f>
        <v>759059.97617812804</v>
      </c>
      <c r="F46" s="45">
        <f>IFERROR(INDEX(Table2[TANF],MATCH(Table24[[#This Row],[Alias]:[Alias]],Table2[[Alias]:[Alias]],0))*INDEX($AD$5:$BI$5,1,MATCH(Table24[[#This Row],[Alias]:[Alias]],$AD$4:$BI$4,0)),0)</f>
        <v>543317.48892818578</v>
      </c>
      <c r="G46" s="45">
        <f>IFERROR(INDEX(Table2[Grand Total],MATCH(Table24[[#This Row],[Alias]:[Alias]],Table2[[Alias]:[Alias]],0))*INDEX($AD$5:$BI$5,1,MATCH(Table24[[#This Row],[Alias]:[Alias]],$AD$4:$BI$4,0)),0)</f>
        <v>1302377.4651063138</v>
      </c>
      <c r="H46" s="45" t="str">
        <f>IF(Table24[[#This Row],[PAC]]="26300","IV-E","Non IV-E")</f>
        <v>Non IV-E</v>
      </c>
      <c r="I46" s="45" t="str">
        <f>_xlfn.CONCAT(Table24[[#This Row],[Catchment Area]],Table24[[#This Row],[Level of Care]],Table24[[#This Row],[IV-E]])</f>
        <v>3BBlendedNon IV-E</v>
      </c>
    </row>
    <row r="47" spans="1:9">
      <c r="A47" s="18" t="s">
        <v>20</v>
      </c>
      <c r="B47" s="18" t="s">
        <v>18</v>
      </c>
      <c r="C47" s="18" t="s">
        <v>29</v>
      </c>
      <c r="D47" s="45">
        <f>IFERROR(INDEX(Table2[Entitlements],MATCH(Table24[[#This Row],[Alias]:[Alias]],Table2[[Alias]:[Alias]],0))*INDEX($AD$5:$BI$5,1,MATCH(Table24[[#This Row],[Alias]:[Alias]],$AD$4:$BI$4,0)),0)</f>
        <v>6567.9735894215883</v>
      </c>
      <c r="E47" s="45">
        <f>IFERROR(INDEX(Table2[GR],MATCH(Table24[[#This Row],[Alias]:[Alias]],Table2[[Alias]:[Alias]],0))*INDEX($AD$5:$BI$5,1,MATCH(Table24[[#This Row],[Alias]:[Alias]],$AD$4:$BI$4,0)),0)</f>
        <v>5368.5432899402576</v>
      </c>
      <c r="F47" s="45">
        <f>IFERROR(INDEX(Table2[TANF],MATCH(Table24[[#This Row],[Alias]:[Alias]],Table2[[Alias]:[Alias]],0))*INDEX($AD$5:$BI$5,1,MATCH(Table24[[#This Row],[Alias]:[Alias]],$AD$4:$BI$4,0)),0)</f>
        <v>708.54952884996601</v>
      </c>
      <c r="G47" s="45">
        <f>IFERROR(INDEX(Table2[Grand Total],MATCH(Table24[[#This Row],[Alias]:[Alias]],Table2[[Alias]:[Alias]],0))*INDEX($AD$5:$BI$5,1,MATCH(Table24[[#This Row],[Alias]:[Alias]],$AD$4:$BI$4,0)),0)</f>
        <v>12645.066408211813</v>
      </c>
      <c r="H47" s="45" t="str">
        <f>IF(Table24[[#This Row],[PAC]]="26300","IV-E","Non IV-E")</f>
        <v>IV-E</v>
      </c>
      <c r="I47" s="45" t="str">
        <f>_xlfn.CONCAT(Table24[[#This Row],[Catchment Area]],Table24[[#This Row],[Level of Care]],Table24[[#This Row],[IV-E]])</f>
        <v>3BExceptionalIV-E</v>
      </c>
    </row>
    <row r="48" spans="1:9">
      <c r="A48" s="18" t="s">
        <v>20</v>
      </c>
      <c r="B48" s="18" t="s">
        <v>18</v>
      </c>
      <c r="C48" s="18" t="s">
        <v>30</v>
      </c>
      <c r="D48" s="45">
        <f>IFERROR(INDEX(Table2[Entitlements],MATCH(Table24[[#This Row],[Alias]:[Alias]],Table2[[Alias]:[Alias]],0))*INDEX($AD$5:$BI$5,1,MATCH(Table24[[#This Row],[Alias]:[Alias]],$AD$4:$BI$4,0)),0)</f>
        <v>0</v>
      </c>
      <c r="E48" s="45">
        <f>IFERROR(INDEX(Table2[GR],MATCH(Table24[[#This Row],[Alias]:[Alias]],Table2[[Alias]:[Alias]],0))*INDEX($AD$5:$BI$5,1,MATCH(Table24[[#This Row],[Alias]:[Alias]],$AD$4:$BI$4,0)),0)</f>
        <v>471238.82032759412</v>
      </c>
      <c r="F48" s="45">
        <f>IFERROR(INDEX(Table2[TANF],MATCH(Table24[[#This Row],[Alias]:[Alias]],Table2[[Alias]:[Alias]],0))*INDEX($AD$5:$BI$5,1,MATCH(Table24[[#This Row],[Alias]:[Alias]],$AD$4:$BI$4,0)),0)</f>
        <v>372646.82638897683</v>
      </c>
      <c r="G48" s="45">
        <f>IFERROR(INDEX(Table2[Grand Total],MATCH(Table24[[#This Row],[Alias]:[Alias]],Table2[[Alias]:[Alias]],0))*INDEX($AD$5:$BI$5,1,MATCH(Table24[[#This Row],[Alias]:[Alias]],$AD$4:$BI$4,0)),0)</f>
        <v>843885.64671657106</v>
      </c>
      <c r="H48" s="45" t="str">
        <f>IF(Table24[[#This Row],[PAC]]="26300","IV-E","Non IV-E")</f>
        <v>Non IV-E</v>
      </c>
      <c r="I48" s="45" t="str">
        <f>_xlfn.CONCAT(Table24[[#This Row],[Catchment Area]],Table24[[#This Row],[Level of Care]],Table24[[#This Row],[IV-E]])</f>
        <v>3BExceptionalNon IV-E</v>
      </c>
    </row>
    <row r="49" spans="1:9">
      <c r="A49" s="18" t="s">
        <v>43</v>
      </c>
      <c r="B49" s="18" t="s">
        <v>17</v>
      </c>
      <c r="C49" s="18" t="s">
        <v>29</v>
      </c>
      <c r="D49" s="45">
        <f>IFERROR(INDEX(Table2[Entitlements],MATCH(Table24[[#This Row],[Alias]:[Alias]],Table2[[Alias]:[Alias]],0))*INDEX($AD$5:$BI$5,1,MATCH(Table24[[#This Row],[Alias]:[Alias]],$AD$4:$BI$4,0)),0)</f>
        <v>100387.56456229261</v>
      </c>
      <c r="E49" s="45">
        <f>IFERROR(INDEX(Table2[GR],MATCH(Table24[[#This Row],[Alias]:[Alias]],Table2[[Alias]:[Alias]],0))*INDEX($AD$5:$BI$5,1,MATCH(Table24[[#This Row],[Alias]:[Alias]],$AD$4:$BI$4,0)),0)</f>
        <v>78528.261068410735</v>
      </c>
      <c r="F49" s="45">
        <f>IFERROR(INDEX(Table2[TANF],MATCH(Table24[[#This Row],[Alias]:[Alias]],Table2[[Alias]:[Alias]],0))*INDEX($AD$5:$BI$5,1,MATCH(Table24[[#This Row],[Alias]:[Alias]],$AD$4:$BI$4,0)),0)</f>
        <v>4463.9031581697318</v>
      </c>
      <c r="G49" s="45">
        <f>IFERROR(INDEX(Table2[Grand Total],MATCH(Table24[[#This Row],[Alias]:[Alias]],Table2[[Alias]:[Alias]],0))*INDEX($AD$5:$BI$5,1,MATCH(Table24[[#This Row],[Alias]:[Alias]],$AD$4:$BI$4,0)),0)</f>
        <v>183379.72878887309</v>
      </c>
      <c r="H49" s="45" t="str">
        <f>IF(Table24[[#This Row],[PAC]]="26300","IV-E","Non IV-E")</f>
        <v>IV-E</v>
      </c>
      <c r="I49" s="45" t="str">
        <f>_xlfn.CONCAT(Table24[[#This Row],[Catchment Area]],Table24[[#This Row],[Level of Care]],Table24[[#This Row],[IV-E]])</f>
        <v>3EBlendedIV-E</v>
      </c>
    </row>
    <row r="50" spans="1:9">
      <c r="A50" s="18" t="s">
        <v>43</v>
      </c>
      <c r="B50" s="18" t="s">
        <v>17</v>
      </c>
      <c r="C50" s="18" t="s">
        <v>30</v>
      </c>
      <c r="D50" s="45">
        <f>IFERROR(INDEX(Table2[Entitlements],MATCH(Table24[[#This Row],[Alias]:[Alias]],Table2[[Alias]:[Alias]],0))*INDEX($AD$5:$BI$5,1,MATCH(Table24[[#This Row],[Alias]:[Alias]],$AD$4:$BI$4,0)),0)</f>
        <v>0</v>
      </c>
      <c r="E50" s="45">
        <f>IFERROR(INDEX(Table2[GR],MATCH(Table24[[#This Row],[Alias]:[Alias]],Table2[[Alias]:[Alias]],0))*INDEX($AD$5:$BI$5,1,MATCH(Table24[[#This Row],[Alias]:[Alias]],$AD$4:$BI$4,0)),0)</f>
        <v>473575.51853426377</v>
      </c>
      <c r="F50" s="45">
        <f>IFERROR(INDEX(Table2[TANF],MATCH(Table24[[#This Row],[Alias]:[Alias]],Table2[[Alias]:[Alias]],0))*INDEX($AD$5:$BI$5,1,MATCH(Table24[[#This Row],[Alias]:[Alias]],$AD$4:$BI$4,0)),0)</f>
        <v>296382.4498910773</v>
      </c>
      <c r="G50" s="45">
        <f>IFERROR(INDEX(Table2[Grand Total],MATCH(Table24[[#This Row],[Alias]:[Alias]],Table2[[Alias]:[Alias]],0))*INDEX($AD$5:$BI$5,1,MATCH(Table24[[#This Row],[Alias]:[Alias]],$AD$4:$BI$4,0)),0)</f>
        <v>769957.96842534107</v>
      </c>
      <c r="H50" s="45" t="str">
        <f>IF(Table24[[#This Row],[PAC]]="26300","IV-E","Non IV-E")</f>
        <v>Non IV-E</v>
      </c>
      <c r="I50" s="45" t="str">
        <f>_xlfn.CONCAT(Table24[[#This Row],[Catchment Area]],Table24[[#This Row],[Level of Care]],Table24[[#This Row],[IV-E]])</f>
        <v>3EBlendedNon IV-E</v>
      </c>
    </row>
    <row r="51" spans="1:9">
      <c r="A51" s="18" t="s">
        <v>43</v>
      </c>
      <c r="B51" s="18" t="s">
        <v>18</v>
      </c>
      <c r="C51" s="18" t="s">
        <v>29</v>
      </c>
      <c r="D51" s="45">
        <f>IFERROR(INDEX(Table2[Entitlements],MATCH(Table24[[#This Row],[Alias]:[Alias]],Table2[[Alias]:[Alias]],0))*INDEX($AD$5:$BI$5,1,MATCH(Table24[[#This Row],[Alias]:[Alias]],$AD$4:$BI$4,0)),0)</f>
        <v>8772.7671326990458</v>
      </c>
      <c r="E51" s="45">
        <f>IFERROR(INDEX(Table2[GR],MATCH(Table24[[#This Row],[Alias]:[Alias]],Table2[[Alias]:[Alias]],0))*INDEX($AD$5:$BI$5,1,MATCH(Table24[[#This Row],[Alias]:[Alias]],$AD$4:$BI$4,0)),0)</f>
        <v>6896.9286225981177</v>
      </c>
      <c r="F51" s="45">
        <f>IFERROR(INDEX(Table2[TANF],MATCH(Table24[[#This Row],[Alias]:[Alias]],Table2[[Alias]:[Alias]],0))*INDEX($AD$5:$BI$5,1,MATCH(Table24[[#This Row],[Alias]:[Alias]],$AD$4:$BI$4,0)),0)</f>
        <v>1220.1775180662517</v>
      </c>
      <c r="G51" s="45">
        <f>IFERROR(INDEX(Table2[Grand Total],MATCH(Table24[[#This Row],[Alias]:[Alias]],Table2[[Alias]:[Alias]],0))*INDEX($AD$5:$BI$5,1,MATCH(Table24[[#This Row],[Alias]:[Alias]],$AD$4:$BI$4,0)),0)</f>
        <v>16889.873273363417</v>
      </c>
      <c r="H51" s="45" t="str">
        <f>IF(Table24[[#This Row],[PAC]]="26300","IV-E","Non IV-E")</f>
        <v>IV-E</v>
      </c>
      <c r="I51" s="45" t="str">
        <f>_xlfn.CONCAT(Table24[[#This Row],[Catchment Area]],Table24[[#This Row],[Level of Care]],Table24[[#This Row],[IV-E]])</f>
        <v>3EExceptionalIV-E</v>
      </c>
    </row>
    <row r="52" spans="1:9">
      <c r="A52" s="18" t="s">
        <v>43</v>
      </c>
      <c r="B52" s="18" t="s">
        <v>18</v>
      </c>
      <c r="C52" s="18" t="s">
        <v>30</v>
      </c>
      <c r="D52" s="45">
        <f>IFERROR(INDEX(Table2[Entitlements],MATCH(Table24[[#This Row],[Alias]:[Alias]],Table2[[Alias]:[Alias]],0))*INDEX($AD$5:$BI$5,1,MATCH(Table24[[#This Row],[Alias]:[Alias]],$AD$4:$BI$4,0)),0)</f>
        <v>0</v>
      </c>
      <c r="E52" s="45">
        <f>IFERROR(INDEX(Table2[GR],MATCH(Table24[[#This Row],[Alias]:[Alias]],Table2[[Alias]:[Alias]],0))*INDEX($AD$5:$BI$5,1,MATCH(Table24[[#This Row],[Alias]:[Alias]],$AD$4:$BI$4,0)),0)</f>
        <v>21470.635446887496</v>
      </c>
      <c r="F52" s="45">
        <f>IFERROR(INDEX(Table2[TANF],MATCH(Table24[[#This Row],[Alias]:[Alias]],Table2[[Alias]:[Alias]],0))*INDEX($AD$5:$BI$5,1,MATCH(Table24[[#This Row],[Alias]:[Alias]],$AD$4:$BI$4,0)),0)</f>
        <v>30567.788359532671</v>
      </c>
      <c r="G52" s="45">
        <f>IFERROR(INDEX(Table2[Grand Total],MATCH(Table24[[#This Row],[Alias]:[Alias]],Table2[[Alias]:[Alias]],0))*INDEX($AD$5:$BI$5,1,MATCH(Table24[[#This Row],[Alias]:[Alias]],$AD$4:$BI$4,0)),0)</f>
        <v>52038.423806420171</v>
      </c>
      <c r="H52" s="45" t="str">
        <f>IF(Table24[[#This Row],[PAC]]="26300","IV-E","Non IV-E")</f>
        <v>Non IV-E</v>
      </c>
      <c r="I52" s="45" t="str">
        <f>_xlfn.CONCAT(Table24[[#This Row],[Catchment Area]],Table24[[#This Row],[Level of Care]],Table24[[#This Row],[IV-E]])</f>
        <v>3EExceptionalNon IV-E</v>
      </c>
    </row>
    <row r="53" spans="1:9">
      <c r="A53" s="18" t="s">
        <v>47</v>
      </c>
      <c r="B53" s="18" t="s">
        <v>17</v>
      </c>
      <c r="C53" s="18" t="s">
        <v>29</v>
      </c>
      <c r="D53" s="45">
        <f>IFERROR(INDEX(Table2[Entitlements],MATCH(Table24[[#This Row],[Alias]:[Alias]],Table2[[Alias]:[Alias]],0))*INDEX($AD$5:$BI$5,1,MATCH(Table24[[#This Row],[Alias]:[Alias]],$AD$4:$BI$4,0)),0)</f>
        <v>13596.070659699388</v>
      </c>
      <c r="E53" s="45">
        <f>IFERROR(INDEX(Table2[GR],MATCH(Table24[[#This Row],[Alias]:[Alias]],Table2[[Alias]:[Alias]],0))*INDEX($AD$5:$BI$5,1,MATCH(Table24[[#This Row],[Alias]:[Alias]],$AD$4:$BI$4,0)),0)</f>
        <v>10442.654371042619</v>
      </c>
      <c r="F53" s="45">
        <f>IFERROR(INDEX(Table2[TANF],MATCH(Table24[[#This Row],[Alias]:[Alias]],Table2[[Alias]:[Alias]],0))*INDEX($AD$5:$BI$5,1,MATCH(Table24[[#This Row],[Alias]:[Alias]],$AD$4:$BI$4,0)),0)</f>
        <v>797.45560931079388</v>
      </c>
      <c r="G53" s="45">
        <f>IFERROR(INDEX(Table2[Grand Total],MATCH(Table24[[#This Row],[Alias]:[Alias]],Table2[[Alias]:[Alias]],0))*INDEX($AD$5:$BI$5,1,MATCH(Table24[[#This Row],[Alias]:[Alias]],$AD$4:$BI$4,0)),0)</f>
        <v>24836.1806400528</v>
      </c>
      <c r="H53" s="45" t="str">
        <f>IF(Table24[[#This Row],[PAC]]="26300","IV-E","Non IV-E")</f>
        <v>IV-E</v>
      </c>
      <c r="I53" s="45" t="str">
        <f>_xlfn.CONCAT(Table24[[#This Row],[Catchment Area]],Table24[[#This Row],[Level of Care]],Table24[[#This Row],[IV-E]])</f>
        <v>4BlendedIV-E</v>
      </c>
    </row>
    <row r="54" spans="1:9">
      <c r="A54" s="18" t="s">
        <v>47</v>
      </c>
      <c r="B54" s="18" t="s">
        <v>17</v>
      </c>
      <c r="C54" s="18" t="s">
        <v>30</v>
      </c>
      <c r="D54" s="45">
        <f>IFERROR(INDEX(Table2[Entitlements],MATCH(Table24[[#This Row],[Alias]:[Alias]],Table2[[Alias]:[Alias]],0))*INDEX($AD$5:$BI$5,1,MATCH(Table24[[#This Row],[Alias]:[Alias]],$AD$4:$BI$4,0)),0)</f>
        <v>0</v>
      </c>
      <c r="E54" s="45">
        <f>IFERROR(INDEX(Table2[GR],MATCH(Table24[[#This Row],[Alias]:[Alias]],Table2[[Alias]:[Alias]],0))*INDEX($AD$5:$BI$5,1,MATCH(Table24[[#This Row],[Alias]:[Alias]],$AD$4:$BI$4,0)),0)</f>
        <v>118468.61440287934</v>
      </c>
      <c r="F54" s="45">
        <f>IFERROR(INDEX(Table2[TANF],MATCH(Table24[[#This Row],[Alias]:[Alias]],Table2[[Alias]:[Alias]],0))*INDEX($AD$5:$BI$5,1,MATCH(Table24[[#This Row],[Alias]:[Alias]],$AD$4:$BI$4,0)),0)</f>
        <v>107010.02500076409</v>
      </c>
      <c r="G54" s="45">
        <f>IFERROR(INDEX(Table2[Grand Total],MATCH(Table24[[#This Row],[Alias]:[Alias]],Table2[[Alias]:[Alias]],0))*INDEX($AD$5:$BI$5,1,MATCH(Table24[[#This Row],[Alias]:[Alias]],$AD$4:$BI$4,0)),0)</f>
        <v>225478.63940364344</v>
      </c>
      <c r="H54" s="45" t="str">
        <f>IF(Table24[[#This Row],[PAC]]="26300","IV-E","Non IV-E")</f>
        <v>Non IV-E</v>
      </c>
      <c r="I54" s="45" t="str">
        <f>_xlfn.CONCAT(Table24[[#This Row],[Catchment Area]],Table24[[#This Row],[Level of Care]],Table24[[#This Row],[IV-E]])</f>
        <v>4BlendedNon IV-E</v>
      </c>
    </row>
    <row r="55" spans="1:9">
      <c r="A55" s="18" t="s">
        <v>47</v>
      </c>
      <c r="B55" s="18" t="s">
        <v>18</v>
      </c>
      <c r="C55" s="18" t="s">
        <v>29</v>
      </c>
      <c r="D55" s="45">
        <f>IFERROR(INDEX(Table2[Entitlements],MATCH(Table24[[#This Row],[Alias]:[Alias]],Table2[[Alias]:[Alias]],0))*INDEX($AD$5:$BI$5,1,MATCH(Table24[[#This Row],[Alias]:[Alias]],$AD$4:$BI$4,0)),0)</f>
        <v>0</v>
      </c>
      <c r="E55" s="45">
        <f>IFERROR(INDEX(Table2[GR],MATCH(Table24[[#This Row],[Alias]:[Alias]],Table2[[Alias]:[Alias]],0))*INDEX($AD$5:$BI$5,1,MATCH(Table24[[#This Row],[Alias]:[Alias]],$AD$4:$BI$4,0)),0)</f>
        <v>0</v>
      </c>
      <c r="F55" s="45">
        <f>IFERROR(INDEX(Table2[TANF],MATCH(Table24[[#This Row],[Alias]:[Alias]],Table2[[Alias]:[Alias]],0))*INDEX($AD$5:$BI$5,1,MATCH(Table24[[#This Row],[Alias]:[Alias]],$AD$4:$BI$4,0)),0)</f>
        <v>0</v>
      </c>
      <c r="G55" s="45">
        <f>IFERROR(INDEX(Table2[Grand Total],MATCH(Table24[[#This Row],[Alias]:[Alias]],Table2[[Alias]:[Alias]],0))*INDEX($AD$5:$BI$5,1,MATCH(Table24[[#This Row],[Alias]:[Alias]],$AD$4:$BI$4,0)),0)</f>
        <v>0</v>
      </c>
      <c r="H55" s="45" t="str">
        <f>IF(Table24[[#This Row],[PAC]]="26300","IV-E","Non IV-E")</f>
        <v>IV-E</v>
      </c>
      <c r="I55" s="45" t="str">
        <f>_xlfn.CONCAT(Table24[[#This Row],[Catchment Area]],Table24[[#This Row],[Level of Care]],Table24[[#This Row],[IV-E]])</f>
        <v>4ExceptionalIV-E</v>
      </c>
    </row>
    <row r="56" spans="1:9">
      <c r="A56" s="18" t="s">
        <v>47</v>
      </c>
      <c r="B56" s="18" t="s">
        <v>18</v>
      </c>
      <c r="C56" s="18" t="s">
        <v>30</v>
      </c>
      <c r="D56" s="45">
        <f>IFERROR(INDEX(Table2[Entitlements],MATCH(Table24[[#This Row],[Alias]:[Alias]],Table2[[Alias]:[Alias]],0))*INDEX($AD$5:$BI$5,1,MATCH(Table24[[#This Row],[Alias]:[Alias]],$AD$4:$BI$4,0)),0)</f>
        <v>0</v>
      </c>
      <c r="E56" s="45">
        <f>IFERROR(INDEX(Table2[GR],MATCH(Table24[[#This Row],[Alias]:[Alias]],Table2[[Alias]:[Alias]],0))*INDEX($AD$5:$BI$5,1,MATCH(Table24[[#This Row],[Alias]:[Alias]],$AD$4:$BI$4,0)),0)</f>
        <v>0</v>
      </c>
      <c r="F56" s="45">
        <f>IFERROR(INDEX(Table2[TANF],MATCH(Table24[[#This Row],[Alias]:[Alias]],Table2[[Alias]:[Alias]],0))*INDEX($AD$5:$BI$5,1,MATCH(Table24[[#This Row],[Alias]:[Alias]],$AD$4:$BI$4,0)),0)</f>
        <v>0</v>
      </c>
      <c r="G56" s="45">
        <f>IFERROR(INDEX(Table2[Grand Total],MATCH(Table24[[#This Row],[Alias]:[Alias]],Table2[[Alias]:[Alias]],0))*INDEX($AD$5:$BI$5,1,MATCH(Table24[[#This Row],[Alias]:[Alias]],$AD$4:$BI$4,0)),0)</f>
        <v>0</v>
      </c>
      <c r="H56" s="45" t="str">
        <f>IF(Table24[[#This Row],[PAC]]="26300","IV-E","Non IV-E")</f>
        <v>Non IV-E</v>
      </c>
      <c r="I56" s="45" t="str">
        <f>_xlfn.CONCAT(Table24[[#This Row],[Catchment Area]],Table24[[#This Row],[Level of Care]],Table24[[#This Row],[IV-E]])</f>
        <v>4ExceptionalNon IV-E</v>
      </c>
    </row>
    <row r="57" spans="1:9">
      <c r="A57" s="18" t="s">
        <v>48</v>
      </c>
      <c r="B57" s="18" t="s">
        <v>17</v>
      </c>
      <c r="C57" s="18" t="s">
        <v>29</v>
      </c>
      <c r="D57" s="45">
        <f>IFERROR(INDEX(Table2[Entitlements],MATCH(Table24[[#This Row],[Alias]:[Alias]],Table2[[Alias]:[Alias]],0))*INDEX($AD$5:$BI$5,1,MATCH(Table24[[#This Row],[Alias]:[Alias]],$AD$4:$BI$4,0)),0)</f>
        <v>6656.9386530519796</v>
      </c>
      <c r="E57" s="45">
        <f>IFERROR(INDEX(Table2[GR],MATCH(Table24[[#This Row],[Alias]:[Alias]],Table2[[Alias]:[Alias]],0))*INDEX($AD$5:$BI$5,1,MATCH(Table24[[#This Row],[Alias]:[Alias]],$AD$4:$BI$4,0)),0)</f>
        <v>5185.6619879995051</v>
      </c>
      <c r="F57" s="45">
        <f>IFERROR(INDEX(Table2[TANF],MATCH(Table24[[#This Row],[Alias]:[Alias]],Table2[[Alias]:[Alias]],0))*INDEX($AD$5:$BI$5,1,MATCH(Table24[[#This Row],[Alias]:[Alias]],$AD$4:$BI$4,0)),0)</f>
        <v>317.74587192307996</v>
      </c>
      <c r="G57" s="45">
        <f>IFERROR(INDEX(Table2[Grand Total],MATCH(Table24[[#This Row],[Alias]:[Alias]],Table2[[Alias]:[Alias]],0))*INDEX($AD$5:$BI$5,1,MATCH(Table24[[#This Row],[Alias]:[Alias]],$AD$4:$BI$4,0)),0)</f>
        <v>12160.346512974565</v>
      </c>
      <c r="H57" s="45" t="str">
        <f>IF(Table24[[#This Row],[PAC]]="26300","IV-E","Non IV-E")</f>
        <v>IV-E</v>
      </c>
      <c r="I57" s="45" t="str">
        <f>_xlfn.CONCAT(Table24[[#This Row],[Catchment Area]],Table24[[#This Row],[Level of Care]],Table24[[#This Row],[IV-E]])</f>
        <v>5BlendedIV-E</v>
      </c>
    </row>
    <row r="58" spans="1:9">
      <c r="A58" s="18" t="s">
        <v>48</v>
      </c>
      <c r="B58" s="18" t="s">
        <v>17</v>
      </c>
      <c r="C58" s="18" t="s">
        <v>30</v>
      </c>
      <c r="D58" s="45">
        <f>IFERROR(INDEX(Table2[Entitlements],MATCH(Table24[[#This Row],[Alias]:[Alias]],Table2[[Alias]:[Alias]],0))*INDEX($AD$5:$BI$5,1,MATCH(Table24[[#This Row],[Alias]:[Alias]],$AD$4:$BI$4,0)),0)</f>
        <v>0</v>
      </c>
      <c r="E58" s="45">
        <f>IFERROR(INDEX(Table2[GR],MATCH(Table24[[#This Row],[Alias]:[Alias]],Table2[[Alias]:[Alias]],0))*INDEX($AD$5:$BI$5,1,MATCH(Table24[[#This Row],[Alias]:[Alias]],$AD$4:$BI$4,0)),0)</f>
        <v>29976.577836101147</v>
      </c>
      <c r="F58" s="45">
        <f>IFERROR(INDEX(Table2[TANF],MATCH(Table24[[#This Row],[Alias]:[Alias]],Table2[[Alias]:[Alias]],0))*INDEX($AD$5:$BI$5,1,MATCH(Table24[[#This Row],[Alias]:[Alias]],$AD$4:$BI$4,0)),0)</f>
        <v>12767.273402453558</v>
      </c>
      <c r="G58" s="45">
        <f>IFERROR(INDEX(Table2[Grand Total],MATCH(Table24[[#This Row],[Alias]:[Alias]],Table2[[Alias]:[Alias]],0))*INDEX($AD$5:$BI$5,1,MATCH(Table24[[#This Row],[Alias]:[Alias]],$AD$4:$BI$4,0)),0)</f>
        <v>42743.851238554707</v>
      </c>
      <c r="H58" s="45" t="str">
        <f>IF(Table24[[#This Row],[PAC]]="26300","IV-E","Non IV-E")</f>
        <v>Non IV-E</v>
      </c>
      <c r="I58" s="45" t="str">
        <f>_xlfn.CONCAT(Table24[[#This Row],[Catchment Area]],Table24[[#This Row],[Level of Care]],Table24[[#This Row],[IV-E]])</f>
        <v>5BlendedNon IV-E</v>
      </c>
    </row>
    <row r="59" spans="1:9">
      <c r="A59" s="18" t="s">
        <v>48</v>
      </c>
      <c r="B59" s="18" t="s">
        <v>18</v>
      </c>
      <c r="C59" s="18" t="s">
        <v>29</v>
      </c>
      <c r="D59" s="45">
        <f>IFERROR(INDEX(Table2[Entitlements],MATCH(Table24[[#This Row],[Alias]:[Alias]],Table2[[Alias]:[Alias]],0))*INDEX($AD$5:$BI$5,1,MATCH(Table24[[#This Row],[Alias]:[Alias]],$AD$4:$BI$4,0)),0)</f>
        <v>0</v>
      </c>
      <c r="E59" s="45">
        <f>IFERROR(INDEX(Table2[GR],MATCH(Table24[[#This Row],[Alias]:[Alias]],Table2[[Alias]:[Alias]],0))*INDEX($AD$5:$BI$5,1,MATCH(Table24[[#This Row],[Alias]:[Alias]],$AD$4:$BI$4,0)),0)</f>
        <v>0</v>
      </c>
      <c r="F59" s="45">
        <f>IFERROR(INDEX(Table2[TANF],MATCH(Table24[[#This Row],[Alias]:[Alias]],Table2[[Alias]:[Alias]],0))*INDEX($AD$5:$BI$5,1,MATCH(Table24[[#This Row],[Alias]:[Alias]],$AD$4:$BI$4,0)),0)</f>
        <v>0</v>
      </c>
      <c r="G59" s="45">
        <f>IFERROR(INDEX(Table2[Grand Total],MATCH(Table24[[#This Row],[Alias]:[Alias]],Table2[[Alias]:[Alias]],0))*INDEX($AD$5:$BI$5,1,MATCH(Table24[[#This Row],[Alias]:[Alias]],$AD$4:$BI$4,0)),0)</f>
        <v>0</v>
      </c>
      <c r="H59" s="45" t="str">
        <f>IF(Table24[[#This Row],[PAC]]="26300","IV-E","Non IV-E")</f>
        <v>IV-E</v>
      </c>
      <c r="I59" s="45" t="str">
        <f>_xlfn.CONCAT(Table24[[#This Row],[Catchment Area]],Table24[[#This Row],[Level of Care]],Table24[[#This Row],[IV-E]])</f>
        <v>5ExceptionalIV-E</v>
      </c>
    </row>
    <row r="60" spans="1:9">
      <c r="A60" s="18" t="s">
        <v>48</v>
      </c>
      <c r="B60" s="18" t="s">
        <v>18</v>
      </c>
      <c r="C60" s="18" t="s">
        <v>30</v>
      </c>
      <c r="D60" s="45">
        <f>IFERROR(INDEX(Table2[Entitlements],MATCH(Table24[[#This Row],[Alias]:[Alias]],Table2[[Alias]:[Alias]],0))*INDEX($AD$5:$BI$5,1,MATCH(Table24[[#This Row],[Alias]:[Alias]],$AD$4:$BI$4,0)),0)</f>
        <v>0</v>
      </c>
      <c r="E60" s="45">
        <f>IFERROR(INDEX(Table2[GR],MATCH(Table24[[#This Row],[Alias]:[Alias]],Table2[[Alias]:[Alias]],0))*INDEX($AD$5:$BI$5,1,MATCH(Table24[[#This Row],[Alias]:[Alias]],$AD$4:$BI$4,0)),0)</f>
        <v>0</v>
      </c>
      <c r="F60" s="45">
        <f>IFERROR(INDEX(Table2[TANF],MATCH(Table24[[#This Row],[Alias]:[Alias]],Table2[[Alias]:[Alias]],0))*INDEX($AD$5:$BI$5,1,MATCH(Table24[[#This Row],[Alias]:[Alias]],$AD$4:$BI$4,0)),0)</f>
        <v>0</v>
      </c>
      <c r="G60" s="45">
        <f>IFERROR(INDEX(Table2[Grand Total],MATCH(Table24[[#This Row],[Alias]:[Alias]],Table2[[Alias]:[Alias]],0))*INDEX($AD$5:$BI$5,1,MATCH(Table24[[#This Row],[Alias]:[Alias]],$AD$4:$BI$4,0)),0)</f>
        <v>0</v>
      </c>
      <c r="H60" s="45" t="str">
        <f>IF(Table24[[#This Row],[PAC]]="26300","IV-E","Non IV-E")</f>
        <v>Non IV-E</v>
      </c>
      <c r="I60" s="45" t="str">
        <f>_xlfn.CONCAT(Table24[[#This Row],[Catchment Area]],Table24[[#This Row],[Level of Care]],Table24[[#This Row],[IV-E]])</f>
        <v>5ExceptionalNon IV-E</v>
      </c>
    </row>
    <row r="61" spans="1:9">
      <c r="A61" s="18" t="s">
        <v>21</v>
      </c>
      <c r="B61" s="18" t="s">
        <v>17</v>
      </c>
      <c r="C61" s="18" t="s">
        <v>29</v>
      </c>
      <c r="D61" s="45">
        <f>IFERROR(INDEX(Table2[Entitlements],MATCH(Table24[[#This Row],[Alias]:[Alias]],Table2[[Alias]:[Alias]],0))*INDEX($AD$5:$BI$5,1,MATCH(Table24[[#This Row],[Alias]:[Alias]],$AD$4:$BI$4,0)),0)</f>
        <v>0</v>
      </c>
      <c r="E61" s="45">
        <f>IFERROR(INDEX(Table2[GR],MATCH(Table24[[#This Row],[Alias]:[Alias]],Table2[[Alias]:[Alias]],0))*INDEX($AD$5:$BI$5,1,MATCH(Table24[[#This Row],[Alias]:[Alias]],$AD$4:$BI$4,0)),0)</f>
        <v>0</v>
      </c>
      <c r="F61" s="45">
        <f>IFERROR(INDEX(Table2[TANF],MATCH(Table24[[#This Row],[Alias]:[Alias]],Table2[[Alias]:[Alias]],0))*INDEX($AD$5:$BI$5,1,MATCH(Table24[[#This Row],[Alias]:[Alias]],$AD$4:$BI$4,0)),0)</f>
        <v>0</v>
      </c>
      <c r="G61" s="45">
        <f>IFERROR(INDEX(Table2[Grand Total],MATCH(Table24[[#This Row],[Alias]:[Alias]],Table2[[Alias]:[Alias]],0))*INDEX($AD$5:$BI$5,1,MATCH(Table24[[#This Row],[Alias]:[Alias]],$AD$4:$BI$4,0)),0)</f>
        <v>0</v>
      </c>
      <c r="H61" s="45" t="str">
        <f>IF(Table24[[#This Row],[PAC]]="26300","IV-E","Non IV-E")</f>
        <v>IV-E</v>
      </c>
      <c r="I61" s="45" t="str">
        <f>_xlfn.CONCAT(Table24[[#This Row],[Catchment Area]],Table24[[#This Row],[Level of Care]],Table24[[#This Row],[IV-E]])</f>
        <v>8ABlendedIV-E</v>
      </c>
    </row>
    <row r="62" spans="1:9">
      <c r="A62" s="18" t="s">
        <v>21</v>
      </c>
      <c r="B62" s="18" t="s">
        <v>17</v>
      </c>
      <c r="C62" s="18" t="s">
        <v>30</v>
      </c>
      <c r="D62" s="45">
        <f>IFERROR(INDEX(Table2[Entitlements],MATCH(Table24[[#This Row],[Alias]:[Alias]],Table2[[Alias]:[Alias]],0))*INDEX($AD$5:$BI$5,1,MATCH(Table24[[#This Row],[Alias]:[Alias]],$AD$4:$BI$4,0)),0)</f>
        <v>0</v>
      </c>
      <c r="E62" s="45">
        <f>IFERROR(INDEX(Table2[GR],MATCH(Table24[[#This Row],[Alias]:[Alias]],Table2[[Alias]:[Alias]],0))*INDEX($AD$5:$BI$5,1,MATCH(Table24[[#This Row],[Alias]:[Alias]],$AD$4:$BI$4,0)),0)</f>
        <v>0</v>
      </c>
      <c r="F62" s="45">
        <f>IFERROR(INDEX(Table2[TANF],MATCH(Table24[[#This Row],[Alias]:[Alias]],Table2[[Alias]:[Alias]],0))*INDEX($AD$5:$BI$5,1,MATCH(Table24[[#This Row],[Alias]:[Alias]],$AD$4:$BI$4,0)),0)</f>
        <v>0</v>
      </c>
      <c r="G62" s="45">
        <f>IFERROR(INDEX(Table2[Grand Total],MATCH(Table24[[#This Row],[Alias]:[Alias]],Table2[[Alias]:[Alias]],0))*INDEX($AD$5:$BI$5,1,MATCH(Table24[[#This Row],[Alias]:[Alias]],$AD$4:$BI$4,0)),0)</f>
        <v>0</v>
      </c>
      <c r="H62" s="45" t="str">
        <f>IF(Table24[[#This Row],[PAC]]="26300","IV-E","Non IV-E")</f>
        <v>Non IV-E</v>
      </c>
      <c r="I62" s="45" t="str">
        <f>_xlfn.CONCAT(Table24[[#This Row],[Catchment Area]],Table24[[#This Row],[Level of Care]],Table24[[#This Row],[IV-E]])</f>
        <v>8ABlendedNon IV-E</v>
      </c>
    </row>
    <row r="63" spans="1:9">
      <c r="A63" s="18" t="s">
        <v>21</v>
      </c>
      <c r="B63" s="18" t="s">
        <v>18</v>
      </c>
      <c r="C63" s="18" t="s">
        <v>29</v>
      </c>
      <c r="D63" s="45">
        <f>IFERROR(INDEX(Table2[Entitlements],MATCH(Table24[[#This Row],[Alias]:[Alias]],Table2[[Alias]:[Alias]],0))*INDEX($AD$5:$BI$5,1,MATCH(Table24[[#This Row],[Alias]:[Alias]],$AD$4:$BI$4,0)),0)</f>
        <v>0</v>
      </c>
      <c r="E63" s="45">
        <f>IFERROR(INDEX(Table2[GR],MATCH(Table24[[#This Row],[Alias]:[Alias]],Table2[[Alias]:[Alias]],0))*INDEX($AD$5:$BI$5,1,MATCH(Table24[[#This Row],[Alias]:[Alias]],$AD$4:$BI$4,0)),0)</f>
        <v>0</v>
      </c>
      <c r="F63" s="45">
        <f>IFERROR(INDEX(Table2[TANF],MATCH(Table24[[#This Row],[Alias]:[Alias]],Table2[[Alias]:[Alias]],0))*INDEX($AD$5:$BI$5,1,MATCH(Table24[[#This Row],[Alias]:[Alias]],$AD$4:$BI$4,0)),0)</f>
        <v>0</v>
      </c>
      <c r="G63" s="45">
        <f>IFERROR(INDEX(Table2[Grand Total],MATCH(Table24[[#This Row],[Alias]:[Alias]],Table2[[Alias]:[Alias]],0))*INDEX($AD$5:$BI$5,1,MATCH(Table24[[#This Row],[Alias]:[Alias]],$AD$4:$BI$4,0)),0)</f>
        <v>0</v>
      </c>
      <c r="H63" s="45" t="str">
        <f>IF(Table24[[#This Row],[PAC]]="26300","IV-E","Non IV-E")</f>
        <v>IV-E</v>
      </c>
      <c r="I63" s="45" t="str">
        <f>_xlfn.CONCAT(Table24[[#This Row],[Catchment Area]],Table24[[#This Row],[Level of Care]],Table24[[#This Row],[IV-E]])</f>
        <v>8AExceptionalIV-E</v>
      </c>
    </row>
    <row r="64" spans="1:9">
      <c r="A64" s="18" t="s">
        <v>21</v>
      </c>
      <c r="B64" s="18" t="s">
        <v>18</v>
      </c>
      <c r="C64" s="18" t="s">
        <v>30</v>
      </c>
      <c r="D64" s="45">
        <f>IFERROR(INDEX(Table2[Entitlements],MATCH(Table24[[#This Row],[Alias]:[Alias]],Table2[[Alias]:[Alias]],0))*INDEX($AD$5:$BI$5,1,MATCH(Table24[[#This Row],[Alias]:[Alias]],$AD$4:$BI$4,0)),0)</f>
        <v>0</v>
      </c>
      <c r="E64" s="45">
        <f>IFERROR(INDEX(Table2[GR],MATCH(Table24[[#This Row],[Alias]:[Alias]],Table2[[Alias]:[Alias]],0))*INDEX($AD$5:$BI$5,1,MATCH(Table24[[#This Row],[Alias]:[Alias]],$AD$4:$BI$4,0)),0)</f>
        <v>0</v>
      </c>
      <c r="F64" s="45">
        <f>IFERROR(INDEX(Table2[TANF],MATCH(Table24[[#This Row],[Alias]:[Alias]],Table2[[Alias]:[Alias]],0))*INDEX($AD$5:$BI$5,1,MATCH(Table24[[#This Row],[Alias]:[Alias]],$AD$4:$BI$4,0)),0)</f>
        <v>0</v>
      </c>
      <c r="G64" s="45">
        <f>IFERROR(INDEX(Table2[Grand Total],MATCH(Table24[[#This Row],[Alias]:[Alias]],Table2[[Alias]:[Alias]],0))*INDEX($AD$5:$BI$5,1,MATCH(Table24[[#This Row],[Alias]:[Alias]],$AD$4:$BI$4,0)),0)</f>
        <v>0</v>
      </c>
      <c r="H64" s="45" t="str">
        <f>IF(Table24[[#This Row],[PAC]]="26300","IV-E","Non IV-E")</f>
        <v>Non IV-E</v>
      </c>
      <c r="I64" s="45" t="str">
        <f>_xlfn.CONCAT(Table24[[#This Row],[Catchment Area]],Table24[[#This Row],[Level of Care]],Table24[[#This Row],[IV-E]])</f>
        <v>8AExceptionalNon IV-E</v>
      </c>
    </row>
    <row r="65" spans="1:9">
      <c r="A65" s="18" t="s">
        <v>42</v>
      </c>
      <c r="B65" s="18" t="s">
        <v>17</v>
      </c>
      <c r="C65" s="18" t="s">
        <v>29</v>
      </c>
      <c r="D65" s="45">
        <f>IFERROR(INDEX(Table2[Entitlements],MATCH(Table24[[#This Row],[Alias]:[Alias]],Table2[[Alias]:[Alias]],0))*INDEX($AD$5:$BI$5,1,MATCH(Table24[[#This Row],[Alias]:[Alias]],$AD$4:$BI$4,0)),0)</f>
        <v>26859.189240347543</v>
      </c>
      <c r="E65" s="45">
        <f>IFERROR(INDEX(Table2[GR],MATCH(Table24[[#This Row],[Alias]:[Alias]],Table2[[Alias]:[Alias]],0))*INDEX($AD$5:$BI$5,1,MATCH(Table24[[#This Row],[Alias]:[Alias]],$AD$4:$BI$4,0)),0)</f>
        <v>20691.564695382851</v>
      </c>
      <c r="F65" s="45">
        <f>IFERROR(INDEX(Table2[TANF],MATCH(Table24[[#This Row],[Alias]:[Alias]],Table2[[Alias]:[Alias]],0))*INDEX($AD$5:$BI$5,1,MATCH(Table24[[#This Row],[Alias]:[Alias]],$AD$4:$BI$4,0)),0)</f>
        <v>1513.3989049566139</v>
      </c>
      <c r="G65" s="45">
        <f>IFERROR(INDEX(Table2[Grand Total],MATCH(Table24[[#This Row],[Alias]:[Alias]],Table2[[Alias]:[Alias]],0))*INDEX($AD$5:$BI$5,1,MATCH(Table24[[#This Row],[Alias]:[Alias]],$AD$4:$BI$4,0)),0)</f>
        <v>49064.152840687013</v>
      </c>
      <c r="H65" s="45" t="str">
        <f>IF(Table24[[#This Row],[PAC]]="26300","IV-E","Non IV-E")</f>
        <v>IV-E</v>
      </c>
      <c r="I65" s="45" t="str">
        <f>_xlfn.CONCAT(Table24[[#This Row],[Catchment Area]],Table24[[#This Row],[Level of Care]],Table24[[#This Row],[IV-E]])</f>
        <v>8BBlendedIV-E</v>
      </c>
    </row>
    <row r="66" spans="1:9">
      <c r="A66" s="18" t="s">
        <v>42</v>
      </c>
      <c r="B66" s="18" t="s">
        <v>17</v>
      </c>
      <c r="C66" s="18" t="s">
        <v>30</v>
      </c>
      <c r="D66" s="45">
        <f>IFERROR(INDEX(Table2[Entitlements],MATCH(Table24[[#This Row],[Alias]:[Alias]],Table2[[Alias]:[Alias]],0))*INDEX($AD$5:$BI$5,1,MATCH(Table24[[#This Row],[Alias]:[Alias]],$AD$4:$BI$4,0)),0)</f>
        <v>0</v>
      </c>
      <c r="E66" s="45">
        <f>IFERROR(INDEX(Table2[GR],MATCH(Table24[[#This Row],[Alias]:[Alias]],Table2[[Alias]:[Alias]],0))*INDEX($AD$5:$BI$5,1,MATCH(Table24[[#This Row],[Alias]:[Alias]],$AD$4:$BI$4,0)),0)</f>
        <v>611803.97723727755</v>
      </c>
      <c r="F66" s="45">
        <f>IFERROR(INDEX(Table2[TANF],MATCH(Table24[[#This Row],[Alias]:[Alias]],Table2[[Alias]:[Alias]],0))*INDEX($AD$5:$BI$5,1,MATCH(Table24[[#This Row],[Alias]:[Alias]],$AD$4:$BI$4,0)),0)</f>
        <v>625713.29248961993</v>
      </c>
      <c r="G66" s="45">
        <f>IFERROR(INDEX(Table2[Grand Total],MATCH(Table24[[#This Row],[Alias]:[Alias]],Table2[[Alias]:[Alias]],0))*INDEX($AD$5:$BI$5,1,MATCH(Table24[[#This Row],[Alias]:[Alias]],$AD$4:$BI$4,0)),0)</f>
        <v>1237517.2697268976</v>
      </c>
      <c r="H66" s="45" t="str">
        <f>IF(Table24[[#This Row],[PAC]]="26300","IV-E","Non IV-E")</f>
        <v>Non IV-E</v>
      </c>
      <c r="I66" s="45" t="str">
        <f>_xlfn.CONCAT(Table24[[#This Row],[Catchment Area]],Table24[[#This Row],[Level of Care]],Table24[[#This Row],[IV-E]])</f>
        <v>8BBlendedNon IV-E</v>
      </c>
    </row>
    <row r="67" spans="1:9">
      <c r="A67" s="18" t="s">
        <v>42</v>
      </c>
      <c r="B67" s="18" t="s">
        <v>18</v>
      </c>
      <c r="C67" s="18" t="s">
        <v>29</v>
      </c>
      <c r="D67" s="45">
        <f>IFERROR(INDEX(Table2[Entitlements],MATCH(Table24[[#This Row],[Alias]:[Alias]],Table2[[Alias]:[Alias]],0))*INDEX($AD$5:$BI$5,1,MATCH(Table24[[#This Row],[Alias]:[Alias]],$AD$4:$BI$4,0)),0)</f>
        <v>22461.559101333336</v>
      </c>
      <c r="E67" s="45">
        <f>IFERROR(INDEX(Table2[GR],MATCH(Table24[[#This Row],[Alias]:[Alias]],Table2[[Alias]:[Alias]],0))*INDEX($AD$5:$BI$5,1,MATCH(Table24[[#This Row],[Alias]:[Alias]],$AD$4:$BI$4,0)),0)</f>
        <v>15883.131068000002</v>
      </c>
      <c r="F67" s="45">
        <f>IFERROR(INDEX(Table2[TANF],MATCH(Table24[[#This Row],[Alias]:[Alias]],Table2[[Alias]:[Alias]],0))*INDEX($AD$5:$BI$5,1,MATCH(Table24[[#This Row],[Alias]:[Alias]],$AD$4:$BI$4,0)),0)</f>
        <v>4899.6747053333338</v>
      </c>
      <c r="G67" s="45">
        <f>IFERROR(INDEX(Table2[Grand Total],MATCH(Table24[[#This Row],[Alias]:[Alias]],Table2[[Alias]:[Alias]],0))*INDEX($AD$5:$BI$5,1,MATCH(Table24[[#This Row],[Alias]:[Alias]],$AD$4:$BI$4,0)),0)</f>
        <v>43244.364874666673</v>
      </c>
      <c r="H67" s="45" t="str">
        <f>IF(Table24[[#This Row],[PAC]]="26300","IV-E","Non IV-E")</f>
        <v>IV-E</v>
      </c>
      <c r="I67" s="45" t="str">
        <f>_xlfn.CONCAT(Table24[[#This Row],[Catchment Area]],Table24[[#This Row],[Level of Care]],Table24[[#This Row],[IV-E]])</f>
        <v>8BExceptionalIV-E</v>
      </c>
    </row>
    <row r="68" spans="1:9">
      <c r="A68" s="18" t="s">
        <v>42</v>
      </c>
      <c r="B68" s="18" t="s">
        <v>18</v>
      </c>
      <c r="C68" s="18" t="s">
        <v>30</v>
      </c>
      <c r="D68" s="45">
        <f>IFERROR(INDEX(Table2[Entitlements],MATCH(Table24[[#This Row],[Alias]:[Alias]],Table2[[Alias]:[Alias]],0))*INDEX($AD$5:$BI$5,1,MATCH(Table24[[#This Row],[Alias]:[Alias]],$AD$4:$BI$4,0)),0)</f>
        <v>0</v>
      </c>
      <c r="E68" s="45">
        <f>IFERROR(INDEX(Table2[GR],MATCH(Table24[[#This Row],[Alias]:[Alias]],Table2[[Alias]:[Alias]],0))*INDEX($AD$5:$BI$5,1,MATCH(Table24[[#This Row],[Alias]:[Alias]],$AD$4:$BI$4,0)),0)</f>
        <v>504636.05734396208</v>
      </c>
      <c r="F68" s="45">
        <f>IFERROR(INDEX(Table2[TANF],MATCH(Table24[[#This Row],[Alias]:[Alias]],Table2[[Alias]:[Alias]],0))*INDEX($AD$5:$BI$5,1,MATCH(Table24[[#This Row],[Alias]:[Alias]],$AD$4:$BI$4,0)),0)</f>
        <v>310658.60097191227</v>
      </c>
      <c r="G68" s="45">
        <f>IFERROR(INDEX(Table2[Grand Total],MATCH(Table24[[#This Row],[Alias]:[Alias]],Table2[[Alias]:[Alias]],0))*INDEX($AD$5:$BI$5,1,MATCH(Table24[[#This Row],[Alias]:[Alias]],$AD$4:$BI$4,0)),0)</f>
        <v>815294.6583158744</v>
      </c>
      <c r="H68" s="45" t="str">
        <f>IF(Table24[[#This Row],[PAC]]="26300","IV-E","Non IV-E")</f>
        <v>Non IV-E</v>
      </c>
      <c r="I68" s="45" t="str">
        <f>_xlfn.CONCAT(Table24[[#This Row],[Catchment Area]],Table24[[#This Row],[Level of Care]],Table24[[#This Row],[IV-E]])</f>
        <v>8BExceptionalNon IV-E</v>
      </c>
    </row>
    <row r="70" spans="1:9">
      <c r="C70" s="38"/>
      <c r="D70" s="38" t="s">
        <v>1</v>
      </c>
      <c r="E70" s="38" t="s">
        <v>2</v>
      </c>
      <c r="F70" s="38" t="s">
        <v>4</v>
      </c>
      <c r="G70" s="38" t="s">
        <v>5</v>
      </c>
    </row>
    <row r="71" spans="1:9">
      <c r="C71" s="38" t="s">
        <v>40</v>
      </c>
      <c r="D71" s="16">
        <f>SUM(Table24[Entitlements])</f>
        <v>441474.6816246247</v>
      </c>
      <c r="E71" s="16">
        <f>SUM(Table24[GR])</f>
        <v>5196943.960208755</v>
      </c>
      <c r="F71" s="16">
        <f>SUM(Table24[TANF])</f>
        <v>3651515.530523546</v>
      </c>
      <c r="G71" s="16">
        <f>SUM(Table24[Grand Total])</f>
        <v>9289934.1723569278</v>
      </c>
    </row>
  </sheetData>
  <mergeCells count="40">
    <mergeCell ref="T1:U1"/>
    <mergeCell ref="V1:W1"/>
    <mergeCell ref="R16:S16"/>
    <mergeCell ref="T16:U16"/>
    <mergeCell ref="V16:W16"/>
    <mergeCell ref="L16:M16"/>
    <mergeCell ref="N16:O16"/>
    <mergeCell ref="P16:Q16"/>
    <mergeCell ref="Z16:AA16"/>
    <mergeCell ref="BF2:BG2"/>
    <mergeCell ref="AP2:AQ2"/>
    <mergeCell ref="AR2:AS2"/>
    <mergeCell ref="AT2:AU2"/>
    <mergeCell ref="AV2:AW2"/>
    <mergeCell ref="AX2:AY2"/>
    <mergeCell ref="AZ2:BA2"/>
    <mergeCell ref="L1:M1"/>
    <mergeCell ref="N1:O1"/>
    <mergeCell ref="P1:Q1"/>
    <mergeCell ref="Z1:AA1"/>
    <mergeCell ref="BH2:BI2"/>
    <mergeCell ref="AD1:AG1"/>
    <mergeCell ref="AH1:AK1"/>
    <mergeCell ref="AL1:AO1"/>
    <mergeCell ref="BF1:BI1"/>
    <mergeCell ref="AD2:AE2"/>
    <mergeCell ref="AF2:AG2"/>
    <mergeCell ref="AH2:AI2"/>
    <mergeCell ref="AJ2:AK2"/>
    <mergeCell ref="AL2:AM2"/>
    <mergeCell ref="AN2:AO2"/>
    <mergeCell ref="R1:S1"/>
    <mergeCell ref="BB1:BE1"/>
    <mergeCell ref="BB2:BC2"/>
    <mergeCell ref="BD2:BE2"/>
    <mergeCell ref="X1:Y1"/>
    <mergeCell ref="X16:Y16"/>
    <mergeCell ref="AP1:AS1"/>
    <mergeCell ref="AT1:AW1"/>
    <mergeCell ref="AX1:BA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Legacy Data</vt:lpstr>
      <vt:lpstr>CBC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Marshall,Andrew J (DFPS)</dc:creator>
  <cp:lastModifiedBy>Michael,Michelle R (DFPS)</cp:lastModifiedBy>
  <dcterms:created xsi:type="dcterms:W3CDTF">2021-10-22T11:03:01Z</dcterms:created>
  <dcterms:modified xsi:type="dcterms:W3CDTF">2024-03-08T22:41:57Z</dcterms:modified>
</cp:coreProperties>
</file>