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4th Legislature\Monthly_Financial_Reports\2017\2017_09_May\Reports for Distribution\"/>
    </mc:Choice>
  </mc:AlternateContent>
  <bookViews>
    <workbookView xWindow="-12" yWindow="5988" windowWidth="24036" windowHeight="3792" tabRatio="873" activeTab="1"/>
  </bookViews>
  <sheets>
    <sheet name="Schedule 1" sheetId="11" r:id="rId1"/>
    <sheet name="Schedule 1 Supplemental" sheetId="55" r:id="rId2"/>
    <sheet name="Schedule 2" sheetId="30" r:id="rId3"/>
    <sheet name="Schedule 3" sheetId="14" r:id="rId4"/>
    <sheet name="Schedule 4" sheetId="12" r:id="rId5"/>
    <sheet name="Schedule 5" sheetId="17" r:id="rId6"/>
    <sheet name="Fund 0888" sheetId="77" r:id="rId7"/>
    <sheet name="Fund 5085" sheetId="78" r:id="rId8"/>
    <sheet name="Fund 5084" sheetId="79" r:id="rId9"/>
    <sheet name="Fund 0666" sheetId="80" r:id="rId10"/>
    <sheet name="Fund 8093" sheetId="81" r:id="rId11"/>
    <sheet name="Fund 0802" sheetId="82" r:id="rId12"/>
    <sheet name="Fund 0001" sheetId="83" r:id="rId13"/>
    <sheet name="Schedule 7" sheetId="18" r:id="rId14"/>
    <sheet name="Footnotes to Schedule 7" sheetId="19" state="hidden" r:id="rId15"/>
    <sheet name="Schedule 8" sheetId="26" r:id="rId16"/>
  </sheets>
  <definedNames>
    <definedName name="_1REPORT_1" localSheetId="13">#REF!</definedName>
    <definedName name="_3REPORT_1" localSheetId="6">#REF!</definedName>
    <definedName name="_3REPORT_1" localSheetId="1">#REF!</definedName>
    <definedName name="_3REPORT_1" localSheetId="2">#REF!</definedName>
    <definedName name="_3REPORT_1">#REF!</definedName>
    <definedName name="_xlnm._FilterDatabase" localSheetId="2" hidden="1">'Schedule 2'!$A$5:$N$41</definedName>
    <definedName name="_xlnm._FilterDatabase" localSheetId="3" hidden="1">'Schedule 3'!$A$5:$J$50</definedName>
    <definedName name="Capital" localSheetId="6">#REF!</definedName>
    <definedName name="Capital" localSheetId="1">#REF!</definedName>
    <definedName name="Capital" localSheetId="2">#REF!</definedName>
    <definedName name="Capital" localSheetId="13">#REF!</definedName>
    <definedName name="Capital">#REF!</definedName>
    <definedName name="Data">'Schedule 3'!$M$6:$M$44</definedName>
    <definedName name="FISCAL_YEAR" localSheetId="6">#REF!</definedName>
    <definedName name="FISCAL_YEAR" localSheetId="0">'Schedule 1'!#REF!</definedName>
    <definedName name="FISCAL_YEAR" localSheetId="1">#REF!</definedName>
    <definedName name="FISCAL_YEAR" localSheetId="2">#REF!</definedName>
    <definedName name="FISCAL_YEAR" localSheetId="3">'Schedule 3'!#REF!</definedName>
    <definedName name="FISCAL_YEAR" localSheetId="4">'Schedule 4'!#REF!</definedName>
    <definedName name="FISCAL_YEAR" localSheetId="5">'Schedule 5'!#REF!</definedName>
    <definedName name="FISCAL_YEAR" localSheetId="13">'Schedule 7'!#REF!</definedName>
    <definedName name="FISCAL_YEAR">#REF!</definedName>
    <definedName name="FISCAL_YEAR2" localSheetId="6">#REF!</definedName>
    <definedName name="FISCAL_YEAR2" localSheetId="0">'Schedule 1'!#REF!</definedName>
    <definedName name="FISCAL_YEAR2" localSheetId="2">#REF!</definedName>
    <definedName name="FISCAL_YEAR2" localSheetId="13">#REF!</definedName>
    <definedName name="FISCAL_YEAR2">#REF!</definedName>
    <definedName name="MOF_Link" localSheetId="2">#REF!</definedName>
    <definedName name="MOF_Link" localSheetId="13">#REF!</definedName>
    <definedName name="MOF_Link">#REF!</definedName>
    <definedName name="MOF_Link_Bud" localSheetId="2">#REF!</definedName>
    <definedName name="MOF_Link_Bud" localSheetId="13">#REF!</definedName>
    <definedName name="MOF_Link_Bud">#REF!</definedName>
    <definedName name="MOF_Link_Exp" localSheetId="2">#REF!</definedName>
    <definedName name="MOF_Link_Exp" localSheetId="13">#REF!</definedName>
    <definedName name="MOF_Link_Exp">#REF!</definedName>
    <definedName name="NvsASD" localSheetId="0">"V2009-03-31"</definedName>
    <definedName name="NvsASD" localSheetId="3">"V2009-03-31"</definedName>
    <definedName name="NvsASD" localSheetId="4">"V2009-03-31"</definedName>
    <definedName name="NvsASD" localSheetId="5">"V2009-03-31"</definedName>
    <definedName name="NvsASD" localSheetId="13">"V2008-12-31"</definedName>
    <definedName name="NvsASD">"V2009-02-28"</definedName>
    <definedName name="NvsAutoDrillOk">"VN"</definedName>
    <definedName name="NvsElapsedTime" localSheetId="12">0.0000347222230629995</definedName>
    <definedName name="NvsElapsedTime" localSheetId="9">0.0000347222230629995</definedName>
    <definedName name="NvsElapsedTime" localSheetId="11">0.0000115740695036948</definedName>
    <definedName name="NvsElapsedTime" localSheetId="8">0.0000694444461259991</definedName>
    <definedName name="NvsElapsedTime" localSheetId="7">0.0000694444461259991</definedName>
    <definedName name="NvsElapsedTime" localSheetId="10">0.0000347222230629995</definedName>
    <definedName name="NvsElapsedTime" localSheetId="0">0.0000925925996853039</definedName>
    <definedName name="NvsElapsedTime" localSheetId="3">0.00844907407736173</definedName>
    <definedName name="NvsElapsedTime" localSheetId="4">0.0000231481462833472</definedName>
    <definedName name="NvsElapsedTime" localSheetId="5">0.0000231481462833472</definedName>
    <definedName name="NvsElapsedTime" localSheetId="13">0.0000231481462833472</definedName>
    <definedName name="NvsElapsedTime">0.0000347222230629995</definedName>
    <definedName name="NvsEndTime" localSheetId="12">40976.4375231481</definedName>
    <definedName name="NvsEndTime" localSheetId="9">40976.437974537</definedName>
    <definedName name="NvsEndTime" localSheetId="11">40976.4384259259</definedName>
    <definedName name="NvsEndTime" localSheetId="8">40976.4362268519</definedName>
    <definedName name="NvsEndTime" localSheetId="7">40976.4352430556</definedName>
    <definedName name="NvsEndTime" localSheetId="10">40976.437974537</definedName>
    <definedName name="NvsEndTime" localSheetId="0">39939.4283333333</definedName>
    <definedName name="NvsEndTime" localSheetId="3">39939.461099537</definedName>
    <definedName name="NvsEndTime" localSheetId="4">39939.4408796296</definedName>
    <definedName name="NvsEndTime" localSheetId="5">39939.4408796296</definedName>
    <definedName name="NvsEndTime" localSheetId="13">39846.5348148148</definedName>
    <definedName name="NvsEndTime">39897.4423148148</definedName>
    <definedName name="NvsInstLang">"VENG"</definedName>
    <definedName name="NvsInstSpec" localSheetId="8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2">"M"</definedName>
    <definedName name="NvsSheetType" localSheetId="9">"M"</definedName>
    <definedName name="NvsSheetType" localSheetId="11">"M"</definedName>
    <definedName name="NvsSheetType" localSheetId="6">"M"</definedName>
    <definedName name="NvsSheetType" localSheetId="8">"M"</definedName>
    <definedName name="NvsSheetType" localSheetId="7">"M"</definedName>
    <definedName name="NvsSheetType" localSheetId="10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13">"M"</definedName>
    <definedName name="NvsTransLed">"VN"</definedName>
    <definedName name="NvsTreeASD" localSheetId="0">"V2009-03-31"</definedName>
    <definedName name="NvsTreeASD" localSheetId="3">"V2009-03-31"</definedName>
    <definedName name="NvsTreeASD" localSheetId="4">"V2009-03-31"</definedName>
    <definedName name="NvsTreeASD" localSheetId="5">"V2009-03-31"</definedName>
    <definedName name="NvsTreeASD" localSheetId="13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6">#REF!</definedName>
    <definedName name="PERIOD_ENDING" localSheetId="0">'Schedule 1'!#REF!</definedName>
    <definedName name="PERIOD_ENDING" localSheetId="1">#REF!</definedName>
    <definedName name="PERIOD_ENDING" localSheetId="2">#REF!</definedName>
    <definedName name="PERIOD_ENDING" localSheetId="3">'Schedule 3'!#REF!</definedName>
    <definedName name="PERIOD_ENDING" localSheetId="4">'Schedule 4'!#REF!</definedName>
    <definedName name="PERIOD_ENDING" localSheetId="5">'Schedule 5'!#REF!</definedName>
    <definedName name="PERIOD_ENDING" localSheetId="13">'Schedule 7'!#REF!</definedName>
    <definedName name="PERIOD_ENDING">#REF!</definedName>
    <definedName name="PERIOD_ENDING2" localSheetId="6">#REF!</definedName>
    <definedName name="PERIOD_ENDING2" localSheetId="0">'Schedule 1'!#REF!</definedName>
    <definedName name="PERIOD_ENDING2" localSheetId="2">#REF!</definedName>
    <definedName name="PERIOD_ENDING2" localSheetId="13">#REF!</definedName>
    <definedName name="PERIOD_ENDING2">#REF!</definedName>
    <definedName name="_xlnm.Print_Area" localSheetId="14">'Footnotes to Schedule 7'!$A$1:$C$15</definedName>
    <definedName name="_xlnm.Print_Area" localSheetId="12">'Fund 0001'!$A$1:$N$27</definedName>
    <definedName name="_xlnm.Print_Area" localSheetId="9">'Fund 0666'!$A$1:$N$32</definedName>
    <definedName name="_xlnm.Print_Area" localSheetId="11">'Fund 0802'!$A$1:$N$28</definedName>
    <definedName name="_xlnm.Print_Area" localSheetId="6">'Fund 0888'!$A$1:$N$31</definedName>
    <definedName name="_xlnm.Print_Area" localSheetId="8">'Fund 5084'!$A$1:$N$36</definedName>
    <definedName name="_xlnm.Print_Area" localSheetId="7">'Fund 5085'!$A$1:$N$33</definedName>
    <definedName name="_xlnm.Print_Area" localSheetId="10">'Fund 8093'!$A$1:$N$33</definedName>
    <definedName name="_xlnm.Print_Area" localSheetId="0">'Schedule 1'!$A$1:$L$56</definedName>
    <definedName name="_xlnm.Print_Area" localSheetId="2">'Schedule 2'!$A$1:$H$47</definedName>
    <definedName name="_xlnm.Print_Area" localSheetId="3">'Schedule 3'!$A$1:$J$56</definedName>
    <definedName name="_xlnm.Print_Area" localSheetId="4">'Schedule 4'!$A$1:$N$44</definedName>
    <definedName name="_xlnm.Print_Area" localSheetId="5">'Schedule 5'!$A$1:$N$46</definedName>
    <definedName name="_xlnm.Print_Area" localSheetId="13">'Schedule 7'!$A$1:$L$36</definedName>
    <definedName name="_xlnm.Print_Area" localSheetId="15">'Schedule 8'!$A$1:$G$26</definedName>
    <definedName name="_xlnm.Print_Titles" localSheetId="0">'Schedule 1'!$1:$3</definedName>
    <definedName name="_xlnm.Print_Titles" localSheetId="1">'Schedule 1 Supplemental'!$A:$B</definedName>
    <definedName name="_xlnm.Print_Titles" localSheetId="2">'Schedule 2'!$1:$3</definedName>
    <definedName name="_xlnm.Print_Titles" localSheetId="3">'Schedule 3'!$1:$3</definedName>
    <definedName name="_xlnm.Print_Titles" localSheetId="4">'Schedule 4'!$1:$5</definedName>
    <definedName name="_xlnm.Print_Titles" localSheetId="5">'Schedule 5'!$1:$4</definedName>
    <definedName name="REPORT" localSheetId="6">#REF!</definedName>
    <definedName name="REPORT" localSheetId="1">#REF!</definedName>
    <definedName name="REPORT" localSheetId="2">#REF!</definedName>
    <definedName name="REPORT" localSheetId="13">#REF!</definedName>
    <definedName name="REPORT">#REF!</definedName>
    <definedName name="TCM">#REF!</definedName>
    <definedName name="Z_46622DE0_E91A_4302_BCA7_5EE9B6F39336_.wvu.Rows" localSheetId="13" hidden="1">'Schedule 7'!$22:$23</definedName>
    <definedName name="Z_8F8E0CD0_CBCE_40E8_A79C_FFB34B5A61AC_.wvu.Rows" localSheetId="13" hidden="1">'Schedule 7'!$22:$23</definedName>
  </definedNames>
  <calcPr calcId="152511"/>
</workbook>
</file>

<file path=xl/calcChain.xml><?xml version="1.0" encoding="utf-8"?>
<calcChain xmlns="http://schemas.openxmlformats.org/spreadsheetml/2006/main">
  <c r="AE22" i="55" l="1"/>
  <c r="AE21" i="55"/>
  <c r="AE20" i="55"/>
  <c r="D27" i="83" l="1"/>
  <c r="C27" i="83"/>
  <c r="B27" i="83"/>
  <c r="M25" i="83"/>
  <c r="L25" i="83"/>
  <c r="K25" i="83"/>
  <c r="J25" i="83"/>
  <c r="I25" i="83"/>
  <c r="H25" i="83"/>
  <c r="G25" i="83"/>
  <c r="N25" i="83" s="1"/>
  <c r="N27" i="83" s="1"/>
  <c r="F25" i="83"/>
  <c r="E25" i="83"/>
  <c r="D25" i="83"/>
  <c r="C25" i="83"/>
  <c r="B25" i="83"/>
  <c r="N22" i="83"/>
  <c r="N18" i="83"/>
  <c r="M18" i="83"/>
  <c r="L18" i="83"/>
  <c r="K18" i="83"/>
  <c r="J18" i="83"/>
  <c r="I18" i="83"/>
  <c r="H18" i="83"/>
  <c r="G18" i="83"/>
  <c r="F18" i="83"/>
  <c r="E18" i="83"/>
  <c r="E27" i="83" s="1"/>
  <c r="D18" i="83"/>
  <c r="C18" i="83"/>
  <c r="B18" i="83"/>
  <c r="N15" i="83"/>
  <c r="N14" i="83"/>
  <c r="N13" i="83"/>
  <c r="R10" i="83"/>
  <c r="B7" i="83" s="1"/>
  <c r="R9" i="83"/>
  <c r="F9" i="83"/>
  <c r="F27" i="83" s="1"/>
  <c r="E9" i="83"/>
  <c r="D9" i="83"/>
  <c r="C9" i="83"/>
  <c r="S8" i="83"/>
  <c r="R8" i="83"/>
  <c r="S7" i="83"/>
  <c r="R7" i="83"/>
  <c r="N7" i="83"/>
  <c r="R6" i="83"/>
  <c r="R5" i="83"/>
  <c r="R4" i="83"/>
  <c r="A3" i="83"/>
  <c r="C25" i="82"/>
  <c r="B25" i="82"/>
  <c r="C23" i="82"/>
  <c r="B23" i="82"/>
  <c r="B20" i="82"/>
  <c r="C16" i="82"/>
  <c r="C20" i="82" s="1"/>
  <c r="B16" i="82"/>
  <c r="N13" i="82"/>
  <c r="R10" i="82"/>
  <c r="R9" i="82"/>
  <c r="N9" i="82"/>
  <c r="D9" i="82"/>
  <c r="D16" i="82" s="1"/>
  <c r="C9" i="82"/>
  <c r="S8" i="82"/>
  <c r="R8" i="82"/>
  <c r="S7" i="82"/>
  <c r="R7" i="82"/>
  <c r="N7" i="82"/>
  <c r="M7" i="82"/>
  <c r="L7" i="82"/>
  <c r="G7" i="82"/>
  <c r="F7" i="82"/>
  <c r="E7" i="82"/>
  <c r="D7" i="82"/>
  <c r="C7" i="82"/>
  <c r="B7" i="82"/>
  <c r="R6" i="82"/>
  <c r="N6" i="82"/>
  <c r="R5" i="82"/>
  <c r="R4" i="82"/>
  <c r="A3" i="82"/>
  <c r="C30" i="81"/>
  <c r="B30" i="81"/>
  <c r="M28" i="81"/>
  <c r="H28" i="81"/>
  <c r="G28" i="81"/>
  <c r="F28" i="81"/>
  <c r="E28" i="81"/>
  <c r="M25" i="81"/>
  <c r="L25" i="81"/>
  <c r="L28" i="81" s="1"/>
  <c r="K25" i="81"/>
  <c r="K28" i="81" s="1"/>
  <c r="J25" i="81"/>
  <c r="J28" i="81" s="1"/>
  <c r="I25" i="81"/>
  <c r="I28" i="81" s="1"/>
  <c r="H25" i="81"/>
  <c r="G25" i="81"/>
  <c r="F25" i="81"/>
  <c r="E25" i="81"/>
  <c r="D25" i="81"/>
  <c r="D28" i="81" s="1"/>
  <c r="D30" i="81" s="1"/>
  <c r="C25" i="81"/>
  <c r="C28" i="81" s="1"/>
  <c r="B25" i="81"/>
  <c r="B28" i="81" s="1"/>
  <c r="N21" i="81"/>
  <c r="M21" i="81"/>
  <c r="L21" i="81"/>
  <c r="K21" i="81"/>
  <c r="J21" i="81"/>
  <c r="I21" i="81"/>
  <c r="H21" i="81"/>
  <c r="G21" i="81"/>
  <c r="F21" i="81"/>
  <c r="E21" i="81"/>
  <c r="D21" i="81"/>
  <c r="C21" i="81"/>
  <c r="B21" i="81"/>
  <c r="N18" i="81"/>
  <c r="N17" i="81"/>
  <c r="N16" i="81"/>
  <c r="N15" i="81"/>
  <c r="N14" i="81"/>
  <c r="N13" i="81"/>
  <c r="R10" i="81"/>
  <c r="R9" i="81"/>
  <c r="N9" i="81"/>
  <c r="F9" i="81"/>
  <c r="E9" i="81"/>
  <c r="D9" i="81"/>
  <c r="C9" i="81"/>
  <c r="S8" i="81"/>
  <c r="R8" i="81"/>
  <c r="S7" i="81"/>
  <c r="R7" i="81"/>
  <c r="N7" i="81"/>
  <c r="E7" i="81"/>
  <c r="D7" i="81"/>
  <c r="C7" i="81"/>
  <c r="B7" i="81"/>
  <c r="R6" i="81"/>
  <c r="M7" i="81" s="1"/>
  <c r="R5" i="81"/>
  <c r="R4" i="81"/>
  <c r="A3" i="81"/>
  <c r="B32" i="80"/>
  <c r="J30" i="80"/>
  <c r="I30" i="80"/>
  <c r="G30" i="80"/>
  <c r="F30" i="80"/>
  <c r="C30" i="80"/>
  <c r="C32" i="80" s="1"/>
  <c r="B30" i="80"/>
  <c r="M27" i="80"/>
  <c r="M30" i="80" s="1"/>
  <c r="K27" i="80"/>
  <c r="K30" i="80" s="1"/>
  <c r="J27" i="80"/>
  <c r="I27" i="80"/>
  <c r="H27" i="80"/>
  <c r="H30" i="80" s="1"/>
  <c r="G27" i="80"/>
  <c r="F27" i="80"/>
  <c r="E27" i="80"/>
  <c r="E30" i="80" s="1"/>
  <c r="C27" i="80"/>
  <c r="N27" i="80" s="1"/>
  <c r="N30" i="80" s="1"/>
  <c r="B27" i="80"/>
  <c r="M23" i="80"/>
  <c r="L23" i="80"/>
  <c r="L27" i="80" s="1"/>
  <c r="L30" i="80" s="1"/>
  <c r="K23" i="80"/>
  <c r="J23" i="80"/>
  <c r="I23" i="80"/>
  <c r="H23" i="80"/>
  <c r="G23" i="80"/>
  <c r="F23" i="80"/>
  <c r="E23" i="80"/>
  <c r="D23" i="80"/>
  <c r="D27" i="80" s="1"/>
  <c r="D30" i="80" s="1"/>
  <c r="C23" i="80"/>
  <c r="B23" i="80"/>
  <c r="N21" i="80"/>
  <c r="N20" i="80"/>
  <c r="N19" i="80"/>
  <c r="N18" i="80"/>
  <c r="N17" i="80"/>
  <c r="N16" i="80"/>
  <c r="N15" i="80"/>
  <c r="N14" i="80"/>
  <c r="N13" i="80"/>
  <c r="R10" i="80"/>
  <c r="R9" i="80"/>
  <c r="N9" i="80"/>
  <c r="D9" i="80"/>
  <c r="E9" i="80" s="1"/>
  <c r="C9" i="80"/>
  <c r="S8" i="80"/>
  <c r="R8" i="80"/>
  <c r="S7" i="80"/>
  <c r="R7" i="80"/>
  <c r="N7" i="80"/>
  <c r="M7" i="80"/>
  <c r="L7" i="80"/>
  <c r="K7" i="80"/>
  <c r="J7" i="80"/>
  <c r="I7" i="80"/>
  <c r="H7" i="80"/>
  <c r="G7" i="80"/>
  <c r="F7" i="80"/>
  <c r="E7" i="80"/>
  <c r="D7" i="80"/>
  <c r="C7" i="80"/>
  <c r="B7" i="80"/>
  <c r="R6" i="80"/>
  <c r="N6" i="80"/>
  <c r="R5" i="80"/>
  <c r="R4" i="80"/>
  <c r="A3" i="80"/>
  <c r="M31" i="79"/>
  <c r="L31" i="79"/>
  <c r="K31" i="79"/>
  <c r="J31" i="79"/>
  <c r="I31" i="79"/>
  <c r="H31" i="79"/>
  <c r="G31" i="79"/>
  <c r="F31" i="79"/>
  <c r="E31" i="79"/>
  <c r="D31" i="79"/>
  <c r="C31" i="79"/>
  <c r="B31" i="79"/>
  <c r="N28" i="79"/>
  <c r="N27" i="79"/>
  <c r="N26" i="79"/>
  <c r="N25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B33" i="79" s="1"/>
  <c r="N19" i="79"/>
  <c r="N18" i="79"/>
  <c r="N15" i="79"/>
  <c r="N14" i="79"/>
  <c r="N13" i="79"/>
  <c r="R10" i="79"/>
  <c r="B7" i="79" s="1"/>
  <c r="R9" i="79"/>
  <c r="N9" i="79"/>
  <c r="C9" i="79"/>
  <c r="C33" i="79" s="1"/>
  <c r="S8" i="79"/>
  <c r="R8" i="79" s="1"/>
  <c r="N7" i="79" s="1"/>
  <c r="S7" i="79"/>
  <c r="R7" i="79" s="1"/>
  <c r="R6" i="79"/>
  <c r="M7" i="79" s="1"/>
  <c r="R5" i="79"/>
  <c r="R4" i="79"/>
  <c r="A3" i="79" s="1"/>
  <c r="D33" i="78"/>
  <c r="C33" i="78"/>
  <c r="B33" i="78"/>
  <c r="N31" i="78"/>
  <c r="M31" i="78"/>
  <c r="L31" i="78"/>
  <c r="K31" i="78"/>
  <c r="J31" i="78"/>
  <c r="I31" i="78"/>
  <c r="H31" i="78"/>
  <c r="G31" i="78"/>
  <c r="F31" i="78"/>
  <c r="E31" i="78"/>
  <c r="D31" i="78"/>
  <c r="C31" i="78"/>
  <c r="B31" i="78"/>
  <c r="N28" i="78"/>
  <c r="N27" i="78"/>
  <c r="C23" i="78"/>
  <c r="B23" i="78"/>
  <c r="N17" i="78"/>
  <c r="N16" i="78"/>
  <c r="N15" i="78"/>
  <c r="N14" i="78"/>
  <c r="N13" i="78"/>
  <c r="R10" i="78"/>
  <c r="R9" i="78"/>
  <c r="E9" i="78"/>
  <c r="E23" i="78" s="1"/>
  <c r="E33" i="78" s="1"/>
  <c r="D9" i="78"/>
  <c r="D23" i="78" s="1"/>
  <c r="C9" i="78"/>
  <c r="S8" i="78"/>
  <c r="R8" i="78"/>
  <c r="S7" i="78"/>
  <c r="R7" i="78"/>
  <c r="N7" i="78"/>
  <c r="M7" i="78"/>
  <c r="G7" i="78"/>
  <c r="F7" i="78"/>
  <c r="E7" i="78"/>
  <c r="D7" i="78"/>
  <c r="C7" i="78"/>
  <c r="B7" i="78"/>
  <c r="R6" i="78"/>
  <c r="N6" i="78"/>
  <c r="R5" i="78"/>
  <c r="R4" i="78"/>
  <c r="A3" i="78"/>
  <c r="N27" i="77"/>
  <c r="M27" i="77"/>
  <c r="L27" i="77"/>
  <c r="K27" i="77"/>
  <c r="J27" i="77"/>
  <c r="I27" i="77"/>
  <c r="H27" i="77"/>
  <c r="G27" i="77"/>
  <c r="F27" i="77"/>
  <c r="E27" i="77"/>
  <c r="D27" i="77"/>
  <c r="C27" i="77"/>
  <c r="B27" i="77"/>
  <c r="N24" i="77"/>
  <c r="C20" i="77"/>
  <c r="C29" i="77" s="1"/>
  <c r="B20" i="77"/>
  <c r="B29" i="77" s="1"/>
  <c r="N16" i="77"/>
  <c r="N15" i="77"/>
  <c r="N14" i="77"/>
  <c r="N13" i="77"/>
  <c r="N20" i="77" s="1"/>
  <c r="N29" i="77" s="1"/>
  <c r="S10" i="77"/>
  <c r="R10" i="77"/>
  <c r="R9" i="77"/>
  <c r="D9" i="77"/>
  <c r="E9" i="77" s="1"/>
  <c r="F9" i="77" s="1"/>
  <c r="F20" i="77" s="1"/>
  <c r="F29" i="77" s="1"/>
  <c r="C9" i="77"/>
  <c r="S8" i="77"/>
  <c r="R8" i="77"/>
  <c r="N7" i="77" s="1"/>
  <c r="S7" i="77"/>
  <c r="R7" i="77"/>
  <c r="R6" i="77"/>
  <c r="R5" i="77"/>
  <c r="R4" i="77"/>
  <c r="A3" i="77" s="1"/>
  <c r="D20" i="77" l="1"/>
  <c r="D29" i="77" s="1"/>
  <c r="E20" i="77"/>
  <c r="E29" i="77" s="1"/>
  <c r="D9" i="79"/>
  <c r="D33" i="79" s="1"/>
  <c r="N31" i="79"/>
  <c r="N21" i="79"/>
  <c r="E7" i="79"/>
  <c r="H7" i="79"/>
  <c r="I7" i="79"/>
  <c r="E9" i="79"/>
  <c r="N6" i="79"/>
  <c r="D20" i="82"/>
  <c r="E32" i="80"/>
  <c r="F9" i="80"/>
  <c r="N33" i="79"/>
  <c r="N32" i="80"/>
  <c r="M7" i="77"/>
  <c r="L7" i="77"/>
  <c r="E7" i="77"/>
  <c r="D7" i="77"/>
  <c r="M7" i="83"/>
  <c r="L7" i="83"/>
  <c r="K7" i="83"/>
  <c r="B7" i="77"/>
  <c r="F9" i="78"/>
  <c r="E9" i="82"/>
  <c r="J7" i="79"/>
  <c r="D32" i="80"/>
  <c r="J7" i="81"/>
  <c r="F7" i="77"/>
  <c r="E30" i="81"/>
  <c r="F7" i="83"/>
  <c r="K7" i="77"/>
  <c r="L7" i="81"/>
  <c r="K7" i="81"/>
  <c r="H7" i="81"/>
  <c r="E7" i="83"/>
  <c r="D7" i="83"/>
  <c r="C7" i="83"/>
  <c r="G9" i="77"/>
  <c r="I7" i="81"/>
  <c r="G9" i="83"/>
  <c r="C7" i="77"/>
  <c r="L7" i="79"/>
  <c r="K7" i="79"/>
  <c r="G7" i="77"/>
  <c r="F30" i="81"/>
  <c r="G7" i="83"/>
  <c r="H7" i="77"/>
  <c r="J7" i="78"/>
  <c r="I7" i="78"/>
  <c r="H7" i="78"/>
  <c r="D7" i="79"/>
  <c r="C7" i="79"/>
  <c r="G9" i="81"/>
  <c r="H7" i="83"/>
  <c r="I7" i="77"/>
  <c r="K7" i="78"/>
  <c r="F7" i="79"/>
  <c r="F7" i="81"/>
  <c r="N25" i="81"/>
  <c r="N28" i="81" s="1"/>
  <c r="N30" i="81" s="1"/>
  <c r="J7" i="82"/>
  <c r="I7" i="82"/>
  <c r="H7" i="82"/>
  <c r="I7" i="83"/>
  <c r="N6" i="77"/>
  <c r="J7" i="77"/>
  <c r="L7" i="78"/>
  <c r="G7" i="79"/>
  <c r="N23" i="80"/>
  <c r="N6" i="81"/>
  <c r="G7" i="81"/>
  <c r="K7" i="82"/>
  <c r="N6" i="83"/>
  <c r="J7" i="83"/>
  <c r="E33" i="79" l="1"/>
  <c r="F9" i="79"/>
  <c r="G27" i="83"/>
  <c r="H9" i="83"/>
  <c r="F32" i="80"/>
  <c r="G9" i="80"/>
  <c r="F9" i="82"/>
  <c r="E16" i="82"/>
  <c r="H9" i="77"/>
  <c r="G20" i="77"/>
  <c r="G29" i="77" s="1"/>
  <c r="H9" i="81"/>
  <c r="G30" i="81"/>
  <c r="F23" i="78"/>
  <c r="F33" i="78" s="1"/>
  <c r="G9" i="78"/>
  <c r="D23" i="82"/>
  <c r="D25" i="82" s="1"/>
  <c r="G9" i="79" l="1"/>
  <c r="F33" i="79"/>
  <c r="G9" i="82"/>
  <c r="F16" i="82"/>
  <c r="F20" i="82" s="1"/>
  <c r="F23" i="82" s="1"/>
  <c r="G23" i="78"/>
  <c r="G33" i="78" s="1"/>
  <c r="H9" i="78"/>
  <c r="I9" i="81"/>
  <c r="H30" i="81"/>
  <c r="G32" i="80"/>
  <c r="H9" i="80"/>
  <c r="H20" i="77"/>
  <c r="H29" i="77" s="1"/>
  <c r="I9" i="77"/>
  <c r="H27" i="83"/>
  <c r="I9" i="83"/>
  <c r="E20" i="82"/>
  <c r="H9" i="79" l="1"/>
  <c r="G33" i="79"/>
  <c r="I30" i="81"/>
  <c r="J9" i="81"/>
  <c r="I27" i="83"/>
  <c r="J9" i="83"/>
  <c r="I9" i="78"/>
  <c r="H23" i="78"/>
  <c r="H33" i="78" s="1"/>
  <c r="H32" i="80"/>
  <c r="I9" i="80"/>
  <c r="E23" i="82"/>
  <c r="E25" i="82" s="1"/>
  <c r="I20" i="77"/>
  <c r="I29" i="77" s="1"/>
  <c r="J9" i="77"/>
  <c r="G16" i="82"/>
  <c r="G20" i="82" s="1"/>
  <c r="G23" i="82" s="1"/>
  <c r="G25" i="82"/>
  <c r="H9" i="82"/>
  <c r="F25" i="82"/>
  <c r="G40" i="30"/>
  <c r="G41" i="30" s="1"/>
  <c r="F40" i="30"/>
  <c r="F41" i="30" s="1"/>
  <c r="E40" i="30"/>
  <c r="E41" i="30" s="1"/>
  <c r="D40" i="30"/>
  <c r="C40" i="30"/>
  <c r="C41" i="30" s="1"/>
  <c r="H39" i="30"/>
  <c r="H40" i="30" s="1"/>
  <c r="G38" i="30"/>
  <c r="F38" i="30"/>
  <c r="E38" i="30"/>
  <c r="D38" i="30"/>
  <c r="C38" i="30"/>
  <c r="H37" i="30"/>
  <c r="H36" i="30"/>
  <c r="H35" i="30"/>
  <c r="H34" i="30"/>
  <c r="H38" i="30" s="1"/>
  <c r="H33" i="30"/>
  <c r="G33" i="30"/>
  <c r="F33" i="30"/>
  <c r="E33" i="30"/>
  <c r="D33" i="30"/>
  <c r="C33" i="30"/>
  <c r="H32" i="30"/>
  <c r="G31" i="30"/>
  <c r="F31" i="30"/>
  <c r="E31" i="30"/>
  <c r="D31" i="30"/>
  <c r="C31" i="30"/>
  <c r="H30" i="30"/>
  <c r="H29" i="30"/>
  <c r="H28" i="30"/>
  <c r="H31" i="30" s="1"/>
  <c r="G27" i="30"/>
  <c r="F27" i="30"/>
  <c r="E27" i="30"/>
  <c r="D27" i="30"/>
  <c r="C27" i="30"/>
  <c r="H26" i="30"/>
  <c r="H25" i="30"/>
  <c r="H24" i="30"/>
  <c r="H27" i="30" s="1"/>
  <c r="H23" i="30"/>
  <c r="H22" i="30"/>
  <c r="H21" i="30"/>
  <c r="G20" i="30"/>
  <c r="F20" i="30"/>
  <c r="E20" i="30"/>
  <c r="D20" i="30"/>
  <c r="D41" i="30" s="1"/>
  <c r="C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20" i="30" s="1"/>
  <c r="G7" i="30"/>
  <c r="F7" i="30"/>
  <c r="E7" i="30"/>
  <c r="D7" i="30"/>
  <c r="C7" i="30"/>
  <c r="H6" i="30"/>
  <c r="H7" i="30" s="1"/>
  <c r="I9" i="79" l="1"/>
  <c r="H33" i="79"/>
  <c r="K9" i="83"/>
  <c r="J27" i="83"/>
  <c r="K9" i="81"/>
  <c r="J30" i="81"/>
  <c r="J9" i="78"/>
  <c r="I23" i="78"/>
  <c r="I33" i="78" s="1"/>
  <c r="K9" i="77"/>
  <c r="J20" i="77"/>
  <c r="J29" i="77" s="1"/>
  <c r="I32" i="80"/>
  <c r="J9" i="80"/>
  <c r="H16" i="82"/>
  <c r="I9" i="82"/>
  <c r="H41" i="30"/>
  <c r="J9" i="79" l="1"/>
  <c r="I33" i="79"/>
  <c r="K9" i="78"/>
  <c r="J23" i="78"/>
  <c r="J33" i="78" s="1"/>
  <c r="L9" i="81"/>
  <c r="K30" i="81"/>
  <c r="J9" i="82"/>
  <c r="I16" i="82"/>
  <c r="I20" i="82" s="1"/>
  <c r="I23" i="82" s="1"/>
  <c r="L9" i="77"/>
  <c r="K20" i="77"/>
  <c r="K29" i="77" s="1"/>
  <c r="H20" i="82"/>
  <c r="J32" i="80"/>
  <c r="K9" i="80"/>
  <c r="L9" i="83"/>
  <c r="K27" i="83"/>
  <c r="K9" i="79" l="1"/>
  <c r="J33" i="79"/>
  <c r="M9" i="83"/>
  <c r="L27" i="83"/>
  <c r="K9" i="82"/>
  <c r="J16" i="82"/>
  <c r="J20" i="82" s="1"/>
  <c r="J23" i="82" s="1"/>
  <c r="K32" i="80"/>
  <c r="L9" i="80"/>
  <c r="M9" i="81"/>
  <c r="M30" i="81" s="1"/>
  <c r="L30" i="81"/>
  <c r="M9" i="77"/>
  <c r="M20" i="77" s="1"/>
  <c r="M29" i="77" s="1"/>
  <c r="N9" i="77" s="1"/>
  <c r="L20" i="77"/>
  <c r="L29" i="77" s="1"/>
  <c r="I25" i="82"/>
  <c r="H23" i="82"/>
  <c r="H25" i="82" s="1"/>
  <c r="K23" i="78"/>
  <c r="K33" i="78" s="1"/>
  <c r="L9" i="78"/>
  <c r="K33" i="79" l="1"/>
  <c r="L9" i="79"/>
  <c r="L9" i="82"/>
  <c r="K16" i="82"/>
  <c r="K20" i="82" s="1"/>
  <c r="J25" i="82"/>
  <c r="M9" i="80"/>
  <c r="M32" i="80" s="1"/>
  <c r="L32" i="80"/>
  <c r="L23" i="78"/>
  <c r="L33" i="78" s="1"/>
  <c r="M9" i="78"/>
  <c r="M23" i="78" s="1"/>
  <c r="M33" i="78" s="1"/>
  <c r="N9" i="78" s="1"/>
  <c r="N23" i="78" s="1"/>
  <c r="N33" i="78" s="1"/>
  <c r="M27" i="83"/>
  <c r="N9" i="83"/>
  <c r="C19" i="55"/>
  <c r="L33" i="79" l="1"/>
  <c r="M9" i="79"/>
  <c r="M33" i="79" s="1"/>
  <c r="K23" i="82"/>
  <c r="K25" i="82" s="1"/>
  <c r="M9" i="82"/>
  <c r="L16" i="82"/>
  <c r="L20" i="82" s="1"/>
  <c r="L23" i="82" s="1"/>
  <c r="E19" i="55"/>
  <c r="M16" i="82" l="1"/>
  <c r="L25" i="82"/>
  <c r="M20" i="82" l="1"/>
  <c r="N16" i="82"/>
  <c r="N25" i="82" l="1"/>
  <c r="M23" i="82"/>
  <c r="M25" i="82" s="1"/>
  <c r="N20" i="82"/>
  <c r="N23" i="82" s="1"/>
  <c r="D19" i="55" l="1"/>
  <c r="F19" i="55"/>
  <c r="G19" i="55"/>
  <c r="H19" i="55"/>
  <c r="I19" i="55"/>
  <c r="J19" i="55"/>
  <c r="K19" i="55"/>
  <c r="G9" i="26" l="1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8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D19" i="55" l="1"/>
  <c r="AD23" i="55" s="1"/>
  <c r="AC19" i="55"/>
  <c r="AC23" i="55" s="1"/>
  <c r="AB19" i="55"/>
  <c r="AB23" i="55" s="1"/>
  <c r="AA19" i="55"/>
  <c r="AA23" i="55" s="1"/>
  <c r="Z19" i="55"/>
  <c r="Z23" i="55" s="1"/>
  <c r="Y19" i="55"/>
  <c r="Y23" i="55" s="1"/>
  <c r="X19" i="55"/>
  <c r="X23" i="55" s="1"/>
  <c r="W19" i="55"/>
  <c r="W23" i="55" s="1"/>
  <c r="V19" i="55"/>
  <c r="V23" i="55" s="1"/>
  <c r="U19" i="55"/>
  <c r="U23" i="55" s="1"/>
  <c r="T19" i="55"/>
  <c r="T23" i="55" s="1"/>
  <c r="S19" i="55"/>
  <c r="S23" i="55" s="1"/>
  <c r="R19" i="55"/>
  <c r="R23" i="55" s="1"/>
  <c r="Q19" i="55"/>
  <c r="Q23" i="55" s="1"/>
  <c r="P19" i="55"/>
  <c r="P23" i="55" s="1"/>
  <c r="O19" i="55"/>
  <c r="O23" i="55" s="1"/>
  <c r="N19" i="55"/>
  <c r="N23" i="55" s="1"/>
  <c r="M19" i="55"/>
  <c r="M23" i="55" s="1"/>
  <c r="L19" i="55"/>
  <c r="L23" i="55" s="1"/>
  <c r="K23" i="55"/>
  <c r="J23" i="55"/>
  <c r="I23" i="55"/>
  <c r="H23" i="55"/>
  <c r="G23" i="55"/>
  <c r="F23" i="55"/>
  <c r="E23" i="55"/>
  <c r="D23" i="55"/>
  <c r="C23" i="55"/>
  <c r="AE18" i="55"/>
  <c r="AE17" i="55"/>
  <c r="AE16" i="55"/>
  <c r="AE15" i="55"/>
  <c r="AE14" i="55"/>
  <c r="AE13" i="55"/>
  <c r="AE12" i="55"/>
  <c r="AE11" i="55"/>
  <c r="AE10" i="55"/>
  <c r="AE9" i="55"/>
  <c r="AE8" i="55"/>
  <c r="AE7" i="55"/>
  <c r="AE6" i="55"/>
  <c r="AE19" i="55" l="1"/>
  <c r="AE23" i="55" s="1"/>
  <c r="C9" i="18" l="1"/>
  <c r="D8" i="11" l="1"/>
  <c r="D5" i="11"/>
  <c r="G7" i="11"/>
  <c r="G29" i="11"/>
  <c r="G56" i="11"/>
  <c r="G34" i="11"/>
  <c r="G43" i="11"/>
  <c r="G21" i="11"/>
  <c r="G46" i="11" l="1"/>
  <c r="G48" i="11" s="1"/>
  <c r="K12" i="14" l="1"/>
  <c r="K14" i="14"/>
  <c r="K16" i="14"/>
  <c r="K18" i="14"/>
  <c r="K20" i="14"/>
  <c r="K49" i="14"/>
  <c r="K55" i="14"/>
  <c r="G21" i="18" l="1"/>
  <c r="G23" i="18" s="1"/>
  <c r="I21" i="18"/>
  <c r="I23" i="18" s="1"/>
  <c r="I28" i="18"/>
  <c r="I30" i="18" s="1"/>
  <c r="G28" i="18"/>
  <c r="G30" i="18" s="1"/>
  <c r="D20" i="18"/>
  <c r="M20" i="18" l="1"/>
  <c r="D39" i="11"/>
  <c r="D40" i="11"/>
  <c r="D41" i="11"/>
  <c r="D44" i="11"/>
  <c r="D38" i="11"/>
  <c r="D35" i="11"/>
  <c r="D31" i="11"/>
  <c r="D32" i="11"/>
  <c r="D30" i="11"/>
  <c r="D23" i="11"/>
  <c r="D24" i="11"/>
  <c r="D25" i="11"/>
  <c r="D26" i="11"/>
  <c r="D27" i="11"/>
  <c r="D22" i="11"/>
  <c r="D9" i="11"/>
  <c r="D10" i="11"/>
  <c r="D11" i="11"/>
  <c r="D12" i="11"/>
  <c r="D13" i="11"/>
  <c r="D14" i="11"/>
  <c r="D15" i="11"/>
  <c r="D16" i="11"/>
  <c r="D17" i="11"/>
  <c r="D18" i="11"/>
  <c r="D19" i="11"/>
  <c r="M50" i="11" l="1"/>
  <c r="M49" i="11"/>
  <c r="M47" i="11"/>
  <c r="M45" i="11"/>
  <c r="M42" i="11"/>
  <c r="M36" i="11"/>
  <c r="M33" i="11"/>
  <c r="M28" i="11"/>
  <c r="M20" i="11"/>
  <c r="M6" i="11"/>
  <c r="L28" i="18" l="1"/>
  <c r="C48" i="14" l="1"/>
  <c r="C9" i="19" l="1"/>
  <c r="C28" i="18" l="1"/>
  <c r="C15" i="19" l="1"/>
  <c r="C7" i="11" l="1"/>
  <c r="C21" i="11"/>
  <c r="C29" i="11"/>
  <c r="C34" i="11"/>
  <c r="C37" i="11"/>
  <c r="C43" i="11"/>
  <c r="C46" i="11"/>
  <c r="C53" i="11"/>
  <c r="C56" i="11" s="1"/>
  <c r="C48" i="11" l="1"/>
  <c r="C30" i="18"/>
  <c r="L30" i="18"/>
  <c r="M26" i="18"/>
  <c r="M25" i="18"/>
  <c r="M24" i="18"/>
  <c r="M22" i="18"/>
  <c r="C21" i="18"/>
  <c r="C23" i="18" s="1"/>
  <c r="C54" i="14"/>
  <c r="C17" i="14"/>
  <c r="C13" i="14"/>
  <c r="D43" i="11" l="1"/>
  <c r="D46" i="11"/>
  <c r="D7" i="11"/>
  <c r="D21" i="11"/>
  <c r="D34" i="11"/>
  <c r="D37" i="11"/>
  <c r="D29" i="11"/>
  <c r="C19" i="14"/>
  <c r="C56" i="14" s="1"/>
  <c r="D9" i="18" l="1"/>
  <c r="D19" i="18"/>
  <c r="D17" i="18"/>
  <c r="D12" i="18"/>
  <c r="D18" i="18"/>
  <c r="D15" i="18"/>
  <c r="M15" i="18" s="1"/>
  <c r="D10" i="18"/>
  <c r="D13" i="18"/>
  <c r="D14" i="18"/>
  <c r="M14" i="18" s="1"/>
  <c r="D11" i="18"/>
  <c r="D16" i="18"/>
  <c r="D48" i="11"/>
  <c r="M11" i="18" l="1"/>
  <c r="M17" i="18"/>
  <c r="M13" i="18"/>
  <c r="M16" i="18"/>
  <c r="M9" i="18"/>
  <c r="M18" i="18"/>
  <c r="M10" i="18"/>
  <c r="M12" i="18"/>
  <c r="M19" i="18"/>
  <c r="D8" i="18" l="1"/>
  <c r="D27" i="18"/>
  <c r="D28" i="18" s="1"/>
  <c r="D29" i="18"/>
  <c r="M29" i="18" s="1"/>
  <c r="D21" i="18" l="1"/>
  <c r="M8" i="18"/>
  <c r="M27" i="18"/>
  <c r="M28" i="18"/>
  <c r="D30" i="18"/>
  <c r="M30" i="18" l="1"/>
  <c r="M21" i="18"/>
  <c r="D23" i="18"/>
  <c r="M23" i="18" s="1"/>
  <c r="E33" i="12" l="1"/>
  <c r="L30" i="12"/>
  <c r="L27" i="11"/>
  <c r="M27" i="11"/>
  <c r="L23" i="11"/>
  <c r="M23" i="11"/>
  <c r="L20" i="17"/>
  <c r="N20" i="17" s="1"/>
  <c r="L38" i="17"/>
  <c r="N38" i="17" s="1"/>
  <c r="D21" i="14"/>
  <c r="F48" i="14"/>
  <c r="F33" i="17"/>
  <c r="J34" i="11"/>
  <c r="J21" i="14"/>
  <c r="G48" i="14"/>
  <c r="M35" i="12"/>
  <c r="L13" i="17"/>
  <c r="N13" i="17" s="1"/>
  <c r="J30" i="14"/>
  <c r="M38" i="11"/>
  <c r="L38" i="11"/>
  <c r="I43" i="11"/>
  <c r="F33" i="12"/>
  <c r="H22" i="17"/>
  <c r="M15" i="11"/>
  <c r="L15" i="11"/>
  <c r="M17" i="11"/>
  <c r="L17" i="11"/>
  <c r="M14" i="11"/>
  <c r="L14" i="11"/>
  <c r="I22" i="12"/>
  <c r="K21" i="18"/>
  <c r="K23" i="18" s="1"/>
  <c r="G35" i="12"/>
  <c r="G9" i="17"/>
  <c r="I29" i="17"/>
  <c r="K29" i="12"/>
  <c r="F35" i="12"/>
  <c r="J33" i="14"/>
  <c r="K43" i="11"/>
  <c r="J31" i="14"/>
  <c r="D33" i="17"/>
  <c r="L19" i="11"/>
  <c r="M19" i="11"/>
  <c r="K22" i="12"/>
  <c r="K35" i="17"/>
  <c r="J9" i="12"/>
  <c r="L37" i="17"/>
  <c r="N37" i="17" s="1"/>
  <c r="L16" i="11"/>
  <c r="M16" i="11"/>
  <c r="L16" i="12"/>
  <c r="N16" i="12" s="1"/>
  <c r="J52" i="14"/>
  <c r="D45" i="14"/>
  <c r="K45" i="14" s="1"/>
  <c r="J46" i="14"/>
  <c r="K22" i="17"/>
  <c r="F9" i="17"/>
  <c r="J11" i="14"/>
  <c r="C40" i="12"/>
  <c r="L14" i="17"/>
  <c r="N14" i="17" s="1"/>
  <c r="F40" i="12"/>
  <c r="D50" i="14"/>
  <c r="F54" i="14"/>
  <c r="F42" i="12"/>
  <c r="J9" i="17"/>
  <c r="L31" i="17"/>
  <c r="N31" i="17" s="1"/>
  <c r="D51" i="11"/>
  <c r="M51" i="11" s="1"/>
  <c r="L51" i="11"/>
  <c r="J29" i="14"/>
  <c r="J35" i="12"/>
  <c r="L12" i="11"/>
  <c r="M12" i="11"/>
  <c r="D42" i="14"/>
  <c r="K42" i="14" s="1"/>
  <c r="M40" i="12"/>
  <c r="J33" i="12"/>
  <c r="L25" i="11"/>
  <c r="M25" i="11"/>
  <c r="J46" i="11"/>
  <c r="K33" i="12"/>
  <c r="D41" i="14"/>
  <c r="K41" i="14" s="1"/>
  <c r="L18" i="11"/>
  <c r="M18" i="11"/>
  <c r="D30" i="14"/>
  <c r="K30" i="14" s="1"/>
  <c r="L15" i="17"/>
  <c r="N15" i="17" s="1"/>
  <c r="D15" i="14"/>
  <c r="D17" i="14" s="1"/>
  <c r="F17" i="14"/>
  <c r="H9" i="17"/>
  <c r="H33" i="12"/>
  <c r="H54" i="14"/>
  <c r="M26" i="11"/>
  <c r="L26" i="11"/>
  <c r="J38" i="14"/>
  <c r="E22" i="17"/>
  <c r="L10" i="17"/>
  <c r="I7" i="11"/>
  <c r="M7" i="11" s="1"/>
  <c r="L5" i="11"/>
  <c r="L7" i="11" s="1"/>
  <c r="M5" i="11"/>
  <c r="L31" i="11"/>
  <c r="M31" i="11"/>
  <c r="I40" i="17"/>
  <c r="M24" i="11"/>
  <c r="L24" i="11"/>
  <c r="L37" i="12"/>
  <c r="N37" i="12" s="1"/>
  <c r="L23" i="17"/>
  <c r="E29" i="17"/>
  <c r="I35" i="17"/>
  <c r="G33" i="17"/>
  <c r="C29" i="17"/>
  <c r="L28" i="12"/>
  <c r="N28" i="12" s="1"/>
  <c r="C33" i="17"/>
  <c r="F35" i="17"/>
  <c r="L25" i="17"/>
  <c r="N25" i="17" s="1"/>
  <c r="K7" i="11"/>
  <c r="C22" i="12"/>
  <c r="K40" i="17"/>
  <c r="J23" i="14"/>
  <c r="M22" i="12"/>
  <c r="G42" i="12"/>
  <c r="J35" i="14"/>
  <c r="J35" i="17"/>
  <c r="C42" i="17"/>
  <c r="L31" i="12"/>
  <c r="N31" i="12" s="1"/>
  <c r="C35" i="17"/>
  <c r="G40" i="12"/>
  <c r="J9" i="14"/>
  <c r="L39" i="12"/>
  <c r="N39" i="12" s="1"/>
  <c r="J47" i="14"/>
  <c r="H48" i="14"/>
  <c r="D25" i="14"/>
  <c r="K25" i="14" s="1"/>
  <c r="E42" i="17"/>
  <c r="L41" i="17"/>
  <c r="L42" i="17" s="1"/>
  <c r="D34" i="14"/>
  <c r="K34" i="14" s="1"/>
  <c r="J39" i="14"/>
  <c r="L14" i="12"/>
  <c r="N14" i="12" s="1"/>
  <c r="D52" i="11"/>
  <c r="M52" i="11" s="1"/>
  <c r="L52" i="11"/>
  <c r="D46" i="14"/>
  <c r="K46" i="14" s="1"/>
  <c r="F9" i="12"/>
  <c r="L16" i="17"/>
  <c r="N16" i="17" s="1"/>
  <c r="F40" i="17"/>
  <c r="M9" i="17"/>
  <c r="J42" i="17"/>
  <c r="I33" i="12"/>
  <c r="C9" i="12"/>
  <c r="J40" i="14"/>
  <c r="F29" i="12"/>
  <c r="G35" i="17"/>
  <c r="I22" i="17"/>
  <c r="L19" i="12"/>
  <c r="N19" i="12" s="1"/>
  <c r="L11" i="11"/>
  <c r="M11" i="11"/>
  <c r="D38" i="14"/>
  <c r="K38" i="14" s="1"/>
  <c r="D26" i="14"/>
  <c r="K26" i="14" s="1"/>
  <c r="D31" i="14"/>
  <c r="K31" i="14" s="1"/>
  <c r="C9" i="17"/>
  <c r="K46" i="11"/>
  <c r="K29" i="17"/>
  <c r="J42" i="12"/>
  <c r="L20" i="12"/>
  <c r="N20" i="12" s="1"/>
  <c r="L21" i="12"/>
  <c r="N21" i="12" s="1"/>
  <c r="E42" i="12"/>
  <c r="L41" i="12"/>
  <c r="L42" i="12" s="1"/>
  <c r="I21" i="11"/>
  <c r="M21" i="11" s="1"/>
  <c r="L8" i="11"/>
  <c r="M8" i="11"/>
  <c r="L35" i="11"/>
  <c r="L37" i="11" s="1"/>
  <c r="I37" i="11"/>
  <c r="M37" i="11" s="1"/>
  <c r="M35" i="11"/>
  <c r="H33" i="17"/>
  <c r="I17" i="14"/>
  <c r="I19" i="14" s="1"/>
  <c r="H29" i="17"/>
  <c r="M30" i="11"/>
  <c r="L30" i="11"/>
  <c r="I34" i="11"/>
  <c r="M34" i="11" s="1"/>
  <c r="J22" i="12"/>
  <c r="J45" i="14"/>
  <c r="G22" i="12"/>
  <c r="G33" i="12"/>
  <c r="H40" i="12"/>
  <c r="M40" i="11"/>
  <c r="L40" i="11"/>
  <c r="J27" i="14"/>
  <c r="D40" i="14"/>
  <c r="K40" i="14" s="1"/>
  <c r="I46" i="11"/>
  <c r="M46" i="11" s="1"/>
  <c r="L44" i="11"/>
  <c r="L46" i="11" s="1"/>
  <c r="M44" i="11"/>
  <c r="L28" i="17"/>
  <c r="N28" i="17" s="1"/>
  <c r="J21" i="18"/>
  <c r="J23" i="18" s="1"/>
  <c r="H17" i="14"/>
  <c r="H19" i="14" s="1"/>
  <c r="H56" i="14" s="1"/>
  <c r="L39" i="11"/>
  <c r="M39" i="11"/>
  <c r="H40" i="17"/>
  <c r="J37" i="11"/>
  <c r="K56" i="11"/>
  <c r="E29" i="12"/>
  <c r="L23" i="12"/>
  <c r="L18" i="17"/>
  <c r="N18" i="17" s="1"/>
  <c r="L15" i="12"/>
  <c r="N15" i="12" s="1"/>
  <c r="M42" i="12"/>
  <c r="J37" i="14"/>
  <c r="K33" i="17"/>
  <c r="C33" i="12"/>
  <c r="J26" i="14"/>
  <c r="I40" i="12"/>
  <c r="L25" i="12"/>
  <c r="N25" i="12" s="1"/>
  <c r="D52" i="14"/>
  <c r="K52" i="14" s="1"/>
  <c r="J43" i="14"/>
  <c r="I42" i="17"/>
  <c r="M40" i="17"/>
  <c r="F42" i="17"/>
  <c r="J56" i="11"/>
  <c r="G29" i="17"/>
  <c r="J29" i="17"/>
  <c r="I33" i="17"/>
  <c r="J28" i="14"/>
  <c r="D10" i="14"/>
  <c r="K10" i="14" s="1"/>
  <c r="D55" i="11"/>
  <c r="M55" i="11" s="1"/>
  <c r="L55" i="11"/>
  <c r="K40" i="12"/>
  <c r="L39" i="17"/>
  <c r="N39" i="17" s="1"/>
  <c r="M29" i="17"/>
  <c r="F22" i="12"/>
  <c r="G42" i="17"/>
  <c r="M9" i="12"/>
  <c r="L11" i="17"/>
  <c r="N11" i="17" s="1"/>
  <c r="I48" i="14"/>
  <c r="D11" i="14"/>
  <c r="K11" i="14" s="1"/>
  <c r="J41" i="14"/>
  <c r="N10" i="17"/>
  <c r="C22" i="17"/>
  <c r="D33" i="12"/>
  <c r="J33" i="17"/>
  <c r="J36" i="14"/>
  <c r="H42" i="17"/>
  <c r="H35" i="17"/>
  <c r="J42" i="14"/>
  <c r="L32" i="17"/>
  <c r="N32" i="17" s="1"/>
  <c r="I9" i="12"/>
  <c r="F13" i="14"/>
  <c r="D8" i="14"/>
  <c r="C42" i="12"/>
  <c r="N41" i="12"/>
  <c r="K9" i="17"/>
  <c r="L17" i="12"/>
  <c r="N17" i="12" s="1"/>
  <c r="J51" i="14"/>
  <c r="J22" i="14"/>
  <c r="K37" i="11"/>
  <c r="L30" i="17"/>
  <c r="E33" i="17"/>
  <c r="E22" i="12"/>
  <c r="L10" i="12"/>
  <c r="E9" i="12"/>
  <c r="L8" i="12"/>
  <c r="L9" i="12" s="1"/>
  <c r="G29" i="12"/>
  <c r="D47" i="14"/>
  <c r="K47" i="14" s="1"/>
  <c r="L9" i="11"/>
  <c r="M9" i="11"/>
  <c r="J10" i="14"/>
  <c r="F29" i="17"/>
  <c r="L26" i="17"/>
  <c r="N26" i="17" s="1"/>
  <c r="L18" i="12"/>
  <c r="N18" i="12" s="1"/>
  <c r="D9" i="12"/>
  <c r="J43" i="11"/>
  <c r="J24" i="14"/>
  <c r="J7" i="11"/>
  <c r="H35" i="12"/>
  <c r="J25" i="14"/>
  <c r="D39" i="14"/>
  <c r="K39" i="14" s="1"/>
  <c r="H29" i="12"/>
  <c r="I42" i="12"/>
  <c r="D33" i="14"/>
  <c r="K33" i="14" s="1"/>
  <c r="L21" i="18"/>
  <c r="L23" i="18" s="1"/>
  <c r="L38" i="12"/>
  <c r="N38" i="12" s="1"/>
  <c r="J21" i="11"/>
  <c r="D51" i="14"/>
  <c r="K51" i="14" s="1"/>
  <c r="I29" i="12"/>
  <c r="C35" i="12"/>
  <c r="M13" i="11"/>
  <c r="L13" i="11"/>
  <c r="G54" i="14"/>
  <c r="J50" i="14"/>
  <c r="H22" i="12"/>
  <c r="L12" i="12"/>
  <c r="N12" i="12" s="1"/>
  <c r="C40" i="17"/>
  <c r="I54" i="14"/>
  <c r="D22" i="12"/>
  <c r="K42" i="17"/>
  <c r="L27" i="12"/>
  <c r="N27" i="12" s="1"/>
  <c r="H9" i="12"/>
  <c r="M29" i="12"/>
  <c r="D9" i="14"/>
  <c r="K9" i="14" s="1"/>
  <c r="J34" i="14"/>
  <c r="D53" i="14"/>
  <c r="K53" i="14" s="1"/>
  <c r="J29" i="12"/>
  <c r="L41" i="11"/>
  <c r="M41" i="11"/>
  <c r="D54" i="11"/>
  <c r="M54" i="11" s="1"/>
  <c r="L54" i="11"/>
  <c r="L36" i="12"/>
  <c r="E40" i="12"/>
  <c r="M35" i="17"/>
  <c r="D23" i="14"/>
  <c r="K23" i="14" s="1"/>
  <c r="D44" i="14"/>
  <c r="K44" i="14" s="1"/>
  <c r="K35" i="12"/>
  <c r="M22" i="17"/>
  <c r="K42" i="12"/>
  <c r="D42" i="17"/>
  <c r="L24" i="17"/>
  <c r="N24" i="17" s="1"/>
  <c r="D32" i="14"/>
  <c r="K32" i="14" s="1"/>
  <c r="K9" i="12"/>
  <c r="L13" i="12"/>
  <c r="N13" i="12" s="1"/>
  <c r="L32" i="11"/>
  <c r="M32" i="11"/>
  <c r="J22" i="17"/>
  <c r="L21" i="17"/>
  <c r="N21" i="17" s="1"/>
  <c r="D29" i="12"/>
  <c r="D40" i="17"/>
  <c r="D35" i="17"/>
  <c r="G9" i="12"/>
  <c r="J29" i="11"/>
  <c r="L17" i="17"/>
  <c r="N17" i="17" s="1"/>
  <c r="D9" i="17"/>
  <c r="D24" i="14"/>
  <c r="K24" i="14" s="1"/>
  <c r="H13" i="14"/>
  <c r="K28" i="18"/>
  <c r="K30" i="18" s="1"/>
  <c r="J53" i="14"/>
  <c r="E35" i="17"/>
  <c r="L34" i="17"/>
  <c r="L35" i="17" s="1"/>
  <c r="L11" i="12"/>
  <c r="N11" i="12" s="1"/>
  <c r="L24" i="12"/>
  <c r="N24" i="12" s="1"/>
  <c r="J15" i="14"/>
  <c r="J17" i="14" s="1"/>
  <c r="G17" i="14"/>
  <c r="K15" i="14"/>
  <c r="G22" i="17"/>
  <c r="D22" i="14"/>
  <c r="K22" i="14" s="1"/>
  <c r="J28" i="18"/>
  <c r="J30" i="18" s="1"/>
  <c r="I9" i="17"/>
  <c r="J40" i="17"/>
  <c r="D37" i="14"/>
  <c r="K37" i="14" s="1"/>
  <c r="D40" i="12"/>
  <c r="D22" i="17"/>
  <c r="L12" i="17"/>
  <c r="N12" i="17" s="1"/>
  <c r="G40" i="17"/>
  <c r="L32" i="12"/>
  <c r="N32" i="12" s="1"/>
  <c r="F22" i="17"/>
  <c r="L19" i="17"/>
  <c r="N19" i="17" s="1"/>
  <c r="K34" i="11"/>
  <c r="D36" i="14"/>
  <c r="K36" i="14" s="1"/>
  <c r="H42" i="12"/>
  <c r="M33" i="12"/>
  <c r="I13" i="14"/>
  <c r="K21" i="11"/>
  <c r="K29" i="11"/>
  <c r="L26" i="12"/>
  <c r="N26" i="12" s="1"/>
  <c r="M10" i="11"/>
  <c r="L10" i="11"/>
  <c r="L34" i="12"/>
  <c r="L35" i="12" s="1"/>
  <c r="E35" i="12"/>
  <c r="J32" i="14"/>
  <c r="D43" i="14"/>
  <c r="K43" i="14" s="1"/>
  <c r="L36" i="17"/>
  <c r="E40" i="17"/>
  <c r="J44" i="14"/>
  <c r="D27" i="14"/>
  <c r="K27" i="14" s="1"/>
  <c r="D29" i="14"/>
  <c r="K29" i="14" s="1"/>
  <c r="L27" i="17"/>
  <c r="N27" i="17" s="1"/>
  <c r="E9" i="17"/>
  <c r="L8" i="17"/>
  <c r="L9" i="17" s="1"/>
  <c r="D28" i="14"/>
  <c r="K28" i="14" s="1"/>
  <c r="D35" i="14"/>
  <c r="K35" i="14" s="1"/>
  <c r="M42" i="17"/>
  <c r="I29" i="11"/>
  <c r="M29" i="11" s="1"/>
  <c r="L22" i="11"/>
  <c r="M22" i="11"/>
  <c r="D29" i="17"/>
  <c r="I35" i="12"/>
  <c r="D35" i="12"/>
  <c r="N23" i="12"/>
  <c r="C29" i="12"/>
  <c r="M33" i="17"/>
  <c r="D42" i="12"/>
  <c r="J40" i="12"/>
  <c r="J8" i="14"/>
  <c r="K8" i="14"/>
  <c r="G13" i="14"/>
  <c r="N41" i="17" l="1"/>
  <c r="N42" i="17" s="1"/>
  <c r="E44" i="17"/>
  <c r="C44" i="17"/>
  <c r="N8" i="17"/>
  <c r="N9" i="17" s="1"/>
  <c r="M44" i="12"/>
  <c r="L40" i="12"/>
  <c r="L34" i="11"/>
  <c r="L29" i="11"/>
  <c r="J48" i="11"/>
  <c r="N22" i="17"/>
  <c r="N36" i="12"/>
  <c r="N40" i="12" s="1"/>
  <c r="I44" i="12"/>
  <c r="N23" i="17"/>
  <c r="N29" i="17" s="1"/>
  <c r="L29" i="17"/>
  <c r="J54" i="14"/>
  <c r="J13" i="14"/>
  <c r="J19" i="14" s="1"/>
  <c r="G44" i="17"/>
  <c r="G44" i="12"/>
  <c r="N42" i="12"/>
  <c r="M44" i="17"/>
  <c r="N34" i="17"/>
  <c r="N35" i="17" s="1"/>
  <c r="L22" i="17"/>
  <c r="F19" i="14"/>
  <c r="F56" i="14" s="1"/>
  <c r="I48" i="11"/>
  <c r="M48" i="11" s="1"/>
  <c r="M43" i="11"/>
  <c r="L29" i="12"/>
  <c r="L21" i="11"/>
  <c r="H44" i="12"/>
  <c r="I56" i="14"/>
  <c r="F44" i="17"/>
  <c r="K48" i="11"/>
  <c r="J48" i="14"/>
  <c r="J44" i="12"/>
  <c r="K44" i="12"/>
  <c r="N30" i="17"/>
  <c r="N33" i="17" s="1"/>
  <c r="L33" i="17"/>
  <c r="D13" i="14"/>
  <c r="D19" i="14" s="1"/>
  <c r="H44" i="17"/>
  <c r="K50" i="14"/>
  <c r="D54" i="14"/>
  <c r="L43" i="11"/>
  <c r="N29" i="12"/>
  <c r="J44" i="17"/>
  <c r="C44" i="12"/>
  <c r="L40" i="17"/>
  <c r="L22" i="12"/>
  <c r="N8" i="12"/>
  <c r="N9" i="12" s="1"/>
  <c r="K44" i="17"/>
  <c r="I44" i="17"/>
  <c r="F44" i="12"/>
  <c r="N30" i="12"/>
  <c r="N33" i="12" s="1"/>
  <c r="L33" i="12"/>
  <c r="L44" i="12" s="1"/>
  <c r="D44" i="17"/>
  <c r="D44" i="12"/>
  <c r="G19" i="14"/>
  <c r="K17" i="14"/>
  <c r="E44" i="12"/>
  <c r="N36" i="17"/>
  <c r="N40" i="17" s="1"/>
  <c r="N34" i="12"/>
  <c r="N35" i="12" s="1"/>
  <c r="N10" i="12"/>
  <c r="N22" i="12" s="1"/>
  <c r="I56" i="11"/>
  <c r="D53" i="11"/>
  <c r="D56" i="11" s="1"/>
  <c r="L53" i="11"/>
  <c r="L56" i="11" s="1"/>
  <c r="K21" i="14"/>
  <c r="D48" i="14"/>
  <c r="K48" i="14" s="1"/>
  <c r="N44" i="17" l="1"/>
  <c r="K13" i="14"/>
  <c r="J56" i="14"/>
  <c r="L48" i="11"/>
  <c r="K19" i="14"/>
  <c r="D56" i="14"/>
  <c r="K54" i="14"/>
  <c r="M53" i="11"/>
  <c r="G56" i="14"/>
  <c r="N44" i="12"/>
  <c r="M56" i="11"/>
  <c r="L44" i="17"/>
  <c r="K56" i="14" l="1"/>
</calcChain>
</file>

<file path=xl/sharedStrings.xml><?xml version="1.0" encoding="utf-8"?>
<sst xmlns="http://schemas.openxmlformats.org/spreadsheetml/2006/main" count="869" uniqueCount="426">
  <si>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</si>
  <si>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</si>
  <si>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</si>
  <si>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</si>
  <si>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</si>
  <si>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</si>
  <si>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</si>
  <si>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</si>
  <si>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</si>
  <si>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</si>
  <si>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</si>
  <si>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</si>
  <si>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</si>
  <si>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</si>
  <si>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</si>
  <si>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</si>
  <si>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</si>
  <si>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</si>
  <si>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</si>
  <si>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</si>
  <si>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</si>
  <si>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</si>
  <si>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</si>
  <si>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</si>
  <si>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</si>
  <si>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</si>
  <si>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</si>
  <si>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</si>
  <si>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</si>
  <si>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</si>
  <si>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</si>
  <si>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</si>
  <si>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</si>
  <si>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</si>
  <si>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</si>
  <si>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</si>
  <si>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</si>
  <si>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</si>
  <si>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</si>
  <si>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</si>
  <si>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</si>
  <si>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</si>
  <si>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</si>
  <si>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</si>
  <si>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</si>
  <si>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</si>
  <si>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</si>
  <si>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</si>
  <si>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</si>
  <si>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</si>
  <si>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</si>
  <si>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</si>
  <si>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</si>
  <si>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</si>
  <si>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</si>
  <si>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</si>
  <si>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</si>
  <si>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</si>
  <si>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</si>
  <si>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</si>
  <si>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</si>
  <si>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</si>
  <si>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</si>
  <si>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</si>
  <si>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</si>
  <si>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</si>
  <si>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</si>
  <si>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</si>
  <si>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</si>
  <si>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</si>
  <si>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</si>
  <si>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</si>
  <si>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</si>
  <si>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</si>
  <si>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</si>
  <si>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</si>
  <si>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</si>
  <si>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</si>
  <si>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</si>
  <si>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</si>
  <si>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</si>
  <si>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</si>
  <si>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</si>
  <si>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</si>
  <si>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</si>
  <si>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</si>
  <si>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</si>
  <si>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</si>
  <si>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</si>
  <si>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</si>
  <si>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</si>
  <si>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</si>
  <si>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</si>
  <si>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</si>
  <si>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</si>
  <si>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</si>
  <si>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</si>
  <si>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</si>
  <si>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</si>
  <si>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</si>
  <si>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</si>
  <si>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</si>
  <si>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</si>
  <si>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</si>
  <si>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</si>
  <si>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</si>
  <si>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</si>
  <si>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</si>
  <si>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</si>
  <si>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</si>
  <si>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</si>
  <si>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</si>
  <si>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</si>
  <si>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</si>
  <si>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</si>
  <si>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</si>
  <si>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</si>
  <si>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</si>
  <si>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</si>
  <si>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</si>
  <si>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</si>
  <si>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</si>
  <si>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</si>
  <si>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</si>
  <si>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</si>
  <si>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</si>
  <si>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</si>
  <si>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</si>
  <si>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</si>
  <si>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</si>
  <si>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</si>
  <si>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</si>
  <si>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</si>
  <si>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</si>
  <si>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</si>
  <si>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</si>
  <si>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</si>
  <si>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</si>
  <si>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</si>
  <si>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</si>
  <si>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</si>
  <si>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</si>
  <si>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</si>
  <si>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</si>
  <si>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</si>
  <si>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</si>
  <si>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</si>
  <si>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</si>
  <si>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</si>
  <si>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</si>
  <si>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</si>
  <si>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</si>
  <si>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</si>
  <si>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</si>
  <si>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</si>
  <si>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</si>
  <si>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</si>
  <si>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</si>
  <si>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</si>
  <si>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</si>
  <si>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</si>
  <si>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</si>
  <si>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</si>
  <si>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</si>
  <si>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</si>
  <si>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</si>
  <si>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</si>
  <si>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</si>
  <si>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</si>
  <si>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</si>
  <si>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</si>
  <si>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</si>
  <si>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</si>
  <si>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</si>
  <si>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</si>
  <si>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</si>
  <si>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</si>
  <si>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</si>
  <si>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</si>
  <si>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</si>
  <si>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</si>
  <si>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</si>
  <si>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</si>
  <si>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</si>
  <si>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</si>
  <si>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</si>
  <si>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</si>
  <si>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</si>
  <si>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</si>
  <si>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</si>
  <si>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</si>
  <si>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</si>
  <si>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</si>
  <si>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</si>
  <si>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</si>
  <si>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</si>
  <si>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</si>
  <si>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</si>
  <si>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</si>
  <si>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</si>
  <si>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</si>
  <si>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</si>
  <si>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</si>
  <si>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</si>
  <si>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</si>
  <si>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</si>
  <si>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</si>
  <si>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</si>
  <si>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</si>
  <si>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</si>
  <si>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</si>
  <si>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</si>
  <si>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</si>
  <si>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</si>
  <si>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</si>
  <si>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</si>
  <si>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</si>
  <si>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Projections Provided by HHSC System Forecasting.</t>
  </si>
  <si>
    <t>Title IVE Waiver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</si>
  <si>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</si>
  <si>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</si>
  <si>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</si>
  <si>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</si>
  <si>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</si>
  <si>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</si>
  <si>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</si>
  <si>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</si>
  <si>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</si>
  <si>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</si>
  <si>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</si>
  <si>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</si>
  <si>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</si>
  <si>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</si>
  <si>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</si>
  <si>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</si>
  <si>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</si>
  <si>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</si>
  <si>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</si>
  <si>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</si>
  <si>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</si>
  <si>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</si>
  <si>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</si>
  <si>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</si>
  <si>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</si>
  <si>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</si>
  <si>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</si>
  <si>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</si>
  <si>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</si>
  <si>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</si>
  <si>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</si>
  <si>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</si>
  <si>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</si>
  <si>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</si>
  <si>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</si>
  <si>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</si>
  <si>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</si>
  <si>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</si>
  <si>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</si>
  <si>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</si>
  <si>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</si>
  <si>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</si>
  <si>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</si>
  <si>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</si>
  <si>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Target FY 2017 HB 1</t>
  </si>
  <si>
    <t>FY 2017       YTD Actual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</si>
  <si>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</si>
  <si>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</si>
  <si>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</si>
  <si>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</si>
  <si>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</si>
  <si>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</si>
  <si>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</si>
  <si>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</si>
  <si>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</si>
  <si>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</si>
  <si>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</si>
  <si>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</si>
  <si>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</si>
  <si>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</si>
  <si>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</si>
  <si>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</si>
  <si>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 xml:space="preserve">TITLE IVE WAIVER
</t>
  </si>
  <si>
    <t>Federal</t>
  </si>
  <si>
    <t>Prior Adjustments</t>
  </si>
  <si>
    <t>E,J</t>
  </si>
  <si>
    <t>E,O</t>
  </si>
  <si>
    <t>O</t>
  </si>
  <si>
    <t>Current Month</t>
  </si>
  <si>
    <t>Art IX, Sec 14.03(i), Limitation on Expenditures - Capital Budget UB (2016-17 GAA)</t>
  </si>
  <si>
    <t>54013</t>
  </si>
  <si>
    <t>Notes: Estimated appropriated amount is $680,258. (Art IX, Sec. 13.11(b))</t>
  </si>
  <si>
    <t>Ending Balance</t>
  </si>
  <si>
    <t>Total Deductions</t>
  </si>
  <si>
    <t xml:space="preserve">     Other Cash Transfers w/i Fund/Account, Between Agencies</t>
  </si>
  <si>
    <t>Deductions:</t>
  </si>
  <si>
    <t>Total Estimated Revenue</t>
  </si>
  <si>
    <t xml:space="preserve">     Other Cash Transfers Between Funds/Accounts</t>
  </si>
  <si>
    <t xml:space="preserve">     Federal Receipts-Earned Credit</t>
  </si>
  <si>
    <t xml:space="preserve">     Federal Pass - Through Revenue</t>
  </si>
  <si>
    <t xml:space="preserve">     3851 Interest on State Deposits and Treasury Investments</t>
  </si>
  <si>
    <t>Estimated Revenue:</t>
  </si>
  <si>
    <t xml:space="preserve">Beginning Balance : </t>
  </si>
  <si>
    <t>Earned Federal Funds - Appropriated (Fund 0888)</t>
  </si>
  <si>
    <t>Texas Department of Family and Protective Services</t>
  </si>
  <si>
    <t>Children's Trust Fund - Unappropriated (Fund 5085)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</si>
  <si>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</si>
  <si>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</si>
  <si>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</si>
  <si>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</si>
  <si>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</si>
  <si>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</si>
  <si>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</si>
  <si>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</si>
  <si>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</si>
  <si>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</si>
  <si>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</si>
  <si>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</si>
  <si>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>Note: Appropriated amount is $5,685,701.</t>
  </si>
  <si>
    <t>Note: Expenditures are estimated and have not been entered into USAS as of reporting time.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</si>
  <si>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</si>
  <si>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</si>
  <si>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</si>
  <si>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</si>
  <si>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 xml:space="preserve">     3802 Reimbursements-Third Party (County)</t>
  </si>
  <si>
    <t xml:space="preserve">     3802 Reimbursements-Third Party (Employee Equipment)</t>
  </si>
  <si>
    <t xml:space="preserve">     3722 Conf/Seminar/Training Registration Fees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</si>
  <si>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</si>
  <si>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</si>
  <si>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</si>
  <si>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</si>
  <si>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</si>
  <si>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</si>
  <si>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</si>
  <si>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</si>
  <si>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</si>
  <si>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</si>
  <si>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</si>
  <si>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</si>
  <si>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</si>
  <si>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Child Care Licensing Fee Collection</t>
  </si>
  <si>
    <t>SB1, Art II Appropriated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</si>
  <si>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</si>
  <si>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</si>
  <si>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IX, Sec.18.02, Appropriation for a Salary Increase for General State Employees (2016-17 GAA)</t>
  </si>
  <si>
    <t>84th Legislature, SB1 Art IX, Sec 13.01, Federal Funds/Block Grants (2016-17 GAA) Fed Entitlements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</si>
  <si>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</si>
  <si>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</si>
  <si>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</si>
  <si>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V</t>
  </si>
  <si>
    <t>84th Legislature, Regular Session, House Bill 2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</si>
  <si>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</si>
  <si>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</si>
  <si>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</si>
  <si>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</si>
  <si>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</si>
  <si>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</si>
  <si>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</si>
  <si>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</si>
  <si>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</si>
  <si>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</si>
  <si>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</si>
  <si>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93.575
</t>
    </r>
    <r>
      <rPr>
        <b/>
        <sz val="12"/>
        <rFont val="Times New Roman"/>
        <family val="1"/>
      </rPr>
      <t>CCDBG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</si>
  <si>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</si>
  <si>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</si>
  <si>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Subtotal, Goal E: </t>
    </r>
    <r>
      <rPr>
        <b/>
        <i/>
        <sz val="12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</si>
  <si>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2"/>
        <rFont val="Times New Roman"/>
        <family val="1"/>
      </rPr>
      <t>Indirect Administration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</si>
  <si>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</si>
  <si>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</si>
  <si>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</si>
  <si>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</si>
  <si>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Subtotal, Goal E:</t>
    </r>
    <r>
      <rPr>
        <b/>
        <i/>
        <sz val="12"/>
        <rFont val="Times New Roman"/>
        <family val="1"/>
      </rPr>
      <t xml:space="preserve">  Child Care Regulation </t>
    </r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</si>
  <si>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</si>
  <si>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rPr>
        <b/>
        <sz val="12"/>
        <rFont val="Times New Roman"/>
        <family val="1"/>
      </rPr>
      <t>Subtotal, Goal G:</t>
    </r>
    <r>
      <rPr>
        <b/>
        <i/>
        <sz val="12"/>
        <rFont val="Times New Roman"/>
        <family val="1"/>
      </rPr>
      <t xml:space="preserve"> Indirect Administration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</si>
  <si>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</si>
  <si>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</si>
  <si>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Adjusted CAP:</t>
  </si>
  <si>
    <t>(1) 84th Leg (GAA 16-17) Article II, S.P. Sec. 10 Home Visiting Programs Consolidation (letter dated 12/01/15)</t>
  </si>
  <si>
    <t>Avg. # of Children in FPS Conservatorship per Month Living in Out-of-Home Care</t>
  </si>
  <si>
    <t>W</t>
  </si>
  <si>
    <t>Art II, Rider 6 (c) Foster Care Rates (2016-17 GAA)</t>
  </si>
  <si>
    <t>E,J,K,W</t>
  </si>
  <si>
    <t>K</t>
  </si>
  <si>
    <t>Art IX, Sec 13.10, Request to Expend TANF- Federal Funds/Block Grants (2016-17 GAA)</t>
  </si>
  <si>
    <t>D,E,G</t>
  </si>
  <si>
    <t>A,D,G</t>
  </si>
  <si>
    <t>D,E,F,G</t>
  </si>
  <si>
    <t>A,D,E,G</t>
  </si>
  <si>
    <t>(Note: Legal cite "C" has been excluded in the November report)</t>
  </si>
  <si>
    <t>B,E</t>
  </si>
  <si>
    <t>A,B,D,E,G,K,O,W</t>
  </si>
  <si>
    <t>A,B,D,E,F,G</t>
  </si>
  <si>
    <t>B,D,E,G</t>
  </si>
  <si>
    <t>B,D,E,F,G</t>
  </si>
  <si>
    <t>A,B,D,E,G,V</t>
  </si>
  <si>
    <t>B,E,O</t>
  </si>
  <si>
    <t xml:space="preserve">     3986  CTF UB Forward In, 403</t>
  </si>
  <si>
    <t>FY 2017 Projected **</t>
  </si>
  <si>
    <t>Average Number of Children Provided Adoption Subsidy per Month*</t>
  </si>
  <si>
    <t>Average Number of STAR Youth Served per Month*</t>
  </si>
  <si>
    <t>Average Number of CYD Youth Served per Month*</t>
  </si>
  <si>
    <t>As of Date:</t>
  </si>
  <si>
    <t>Period</t>
  </si>
  <si>
    <t>.</t>
  </si>
  <si>
    <t>Fiscal Year:</t>
  </si>
  <si>
    <t>2017</t>
  </si>
  <si>
    <t>Period Ending Date:</t>
  </si>
  <si>
    <t>Prior Fiscal Year:</t>
  </si>
  <si>
    <t>Period:</t>
  </si>
  <si>
    <t>***</t>
  </si>
  <si>
    <t>YTD for #11-14 are projections provided by HHSC System Forecasting.</t>
  </si>
  <si>
    <t>Non-Key Performance Measures reported in LAR.</t>
  </si>
  <si>
    <t>(2) 84th Leg (GAA 16-17) Article II, S.P. Sec. 10 Exceeding Full-Time Equivalent (FTE) Authority (letter dated 11/22/16)</t>
  </si>
  <si>
    <t>(3) Budgeted (Adjusted CAP) includes 60.0 Administrative FTEs that transferred to HHSC on 09/01/16, letter of authority is pending.</t>
  </si>
  <si>
    <t>(4) FTE alignment between strategies to meet agency needs are reflected in Budgeted (Adjusted CAP) column.</t>
  </si>
  <si>
    <t>B,E,G,T</t>
  </si>
  <si>
    <t>D,G</t>
  </si>
  <si>
    <t>Data Through the End of May 2017</t>
  </si>
  <si>
    <t xml:space="preserve">     Other Cash Transfers Between Funds/Accounts 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</si>
  <si>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</si>
  <si>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</si>
  <si>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</si>
  <si>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</si>
  <si>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</si>
  <si>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Data Through May 2017</t>
  </si>
  <si>
    <t>E,F</t>
  </si>
  <si>
    <t>A,G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</si>
</sst>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</numFmts>
  <fonts count="9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6" fillId="0" borderId="0"/>
    <xf numFmtId="0" fontId="26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19" fillId="3" borderId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4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2" fillId="0" borderId="0"/>
    <xf numFmtId="0" fontId="5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7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91">
    <xf numFmtId="0" fontId="0" fillId="0" borderId="0" xfId="0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0" xfId="0" applyFont="1"/>
    <xf numFmtId="0" fontId="55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25" fillId="0" borderId="0" xfId="0" applyFont="1"/>
    <xf numFmtId="0" fontId="56" fillId="0" borderId="0" xfId="3" applyFont="1" applyFill="1" applyAlignment="1">
      <alignment horizontal="center"/>
    </xf>
    <xf numFmtId="0" fontId="25" fillId="0" borderId="0" xfId="3" applyFont="1" applyFill="1"/>
    <xf numFmtId="0" fontId="55" fillId="0" borderId="0" xfId="3" applyFont="1" applyFill="1"/>
    <xf numFmtId="0" fontId="58" fillId="0" borderId="0" xfId="3" applyFont="1" applyFill="1"/>
    <xf numFmtId="49" fontId="58" fillId="0" borderId="0" xfId="3" applyNumberFormat="1" applyFont="1" applyFill="1" applyAlignment="1">
      <alignment horizontal="left" indent="1"/>
    </xf>
    <xf numFmtId="3" fontId="25" fillId="0" borderId="0" xfId="0" applyNumberFormat="1" applyFont="1" applyFill="1" applyAlignment="1"/>
    <xf numFmtId="3" fontId="25" fillId="0" borderId="0" xfId="0" applyNumberFormat="1" applyFont="1" applyFill="1"/>
    <xf numFmtId="0" fontId="60" fillId="0" borderId="0" xfId="0" applyFont="1" applyFill="1"/>
    <xf numFmtId="37" fontId="60" fillId="0" borderId="0" xfId="0" applyNumberFormat="1" applyFont="1" applyFill="1"/>
    <xf numFmtId="3" fontId="60" fillId="0" borderId="0" xfId="0" applyNumberFormat="1" applyFont="1" applyFill="1"/>
    <xf numFmtId="0" fontId="60" fillId="0" borderId="0" xfId="0" applyFont="1"/>
    <xf numFmtId="0" fontId="60" fillId="0" borderId="0" xfId="0" applyFont="1" applyFill="1" applyBorder="1"/>
    <xf numFmtId="0" fontId="59" fillId="5" borderId="25" xfId="3" applyFont="1" applyFill="1" applyBorder="1"/>
    <xf numFmtId="0" fontId="59" fillId="5" borderId="26" xfId="3" applyFont="1" applyFill="1" applyBorder="1" applyAlignment="1">
      <alignment horizontal="center" wrapText="1"/>
    </xf>
    <xf numFmtId="0" fontId="59" fillId="5" borderId="27" xfId="3" applyFont="1" applyFill="1" applyBorder="1" applyAlignment="1">
      <alignment horizontal="center"/>
    </xf>
    <xf numFmtId="38" fontId="60" fillId="0" borderId="29" xfId="1" applyNumberFormat="1" applyFont="1" applyBorder="1" applyAlignment="1">
      <alignment horizontal="right"/>
    </xf>
    <xf numFmtId="38" fontId="60" fillId="0" borderId="29" xfId="0" applyNumberFormat="1" applyFont="1" applyBorder="1"/>
    <xf numFmtId="0" fontId="60" fillId="0" borderId="31" xfId="0" applyFont="1" applyBorder="1"/>
    <xf numFmtId="0" fontId="59" fillId="5" borderId="29" xfId="3" applyFont="1" applyFill="1" applyBorder="1" applyAlignment="1">
      <alignment horizontal="center"/>
    </xf>
    <xf numFmtId="38" fontId="60" fillId="0" borderId="34" xfId="0" applyNumberFormat="1" applyFont="1" applyBorder="1"/>
    <xf numFmtId="0" fontId="60" fillId="0" borderId="0" xfId="3" applyFont="1" applyFill="1" applyAlignment="1">
      <alignment wrapText="1"/>
    </xf>
    <xf numFmtId="0" fontId="60" fillId="0" borderId="0" xfId="3" applyFont="1" applyFill="1"/>
    <xf numFmtId="43" fontId="63" fillId="0" borderId="0" xfId="1" applyFont="1" applyFill="1"/>
    <xf numFmtId="0" fontId="59" fillId="0" borderId="0" xfId="3" applyFont="1" applyFill="1"/>
    <xf numFmtId="0" fontId="59" fillId="0" borderId="0" xfId="3" applyFont="1" applyFill="1" applyBorder="1"/>
    <xf numFmtId="165" fontId="64" fillId="0" borderId="0" xfId="1" applyNumberFormat="1" applyFont="1" applyFill="1"/>
    <xf numFmtId="0" fontId="61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wrapText="1"/>
    </xf>
    <xf numFmtId="49" fontId="60" fillId="0" borderId="0" xfId="3" applyNumberFormat="1" applyFont="1" applyFill="1" applyAlignment="1">
      <alignment horizontal="left" indent="1"/>
    </xf>
    <xf numFmtId="49" fontId="60" fillId="0" borderId="0" xfId="3" applyNumberFormat="1" applyFont="1" applyFill="1"/>
    <xf numFmtId="165" fontId="60" fillId="0" borderId="0" xfId="3" applyNumberFormat="1" applyFont="1" applyFill="1"/>
    <xf numFmtId="0" fontId="63" fillId="0" borderId="0" xfId="0" applyFont="1" applyFill="1"/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/>
    <xf numFmtId="0" fontId="59" fillId="0" borderId="0" xfId="0" applyFont="1" applyFill="1" applyAlignment="1">
      <alignment horizontal="center"/>
    </xf>
    <xf numFmtId="0" fontId="62" fillId="0" borderId="0" xfId="0" applyFont="1"/>
    <xf numFmtId="0" fontId="57" fillId="0" borderId="0" xfId="3" applyFont="1" applyFill="1" applyAlignment="1">
      <alignment horizontal="centerContinuous"/>
    </xf>
    <xf numFmtId="165" fontId="65" fillId="0" borderId="0" xfId="1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/>
    <xf numFmtId="0" fontId="21" fillId="0" borderId="0" xfId="3" applyFont="1" applyFill="1" applyAlignment="1">
      <alignment horizontal="centerContinuous"/>
    </xf>
    <xf numFmtId="165" fontId="67" fillId="0" borderId="0" xfId="1" applyNumberFormat="1" applyFont="1" applyFill="1" applyAlignment="1">
      <alignment horizontal="center"/>
    </xf>
    <xf numFmtId="0" fontId="67" fillId="0" borderId="0" xfId="3" applyFont="1" applyFill="1" applyAlignment="1">
      <alignment horizontal="center"/>
    </xf>
    <xf numFmtId="0" fontId="54" fillId="0" borderId="0" xfId="3" applyFont="1" applyFill="1"/>
    <xf numFmtId="0" fontId="62" fillId="0" borderId="30" xfId="0" applyFont="1" applyBorder="1"/>
    <xf numFmtId="0" fontId="62" fillId="0" borderId="3" xfId="0" applyFont="1" applyBorder="1"/>
    <xf numFmtId="0" fontId="62" fillId="0" borderId="28" xfId="0" applyFont="1" applyBorder="1"/>
    <xf numFmtId="0" fontId="62" fillId="0" borderId="0" xfId="0" applyFont="1" applyBorder="1"/>
    <xf numFmtId="0" fontId="61" fillId="5" borderId="28" xfId="3" applyFont="1" applyFill="1" applyBorder="1"/>
    <xf numFmtId="0" fontId="61" fillId="5" borderId="3" xfId="3" applyFont="1" applyFill="1" applyBorder="1" applyAlignment="1">
      <alignment horizontal="center" wrapText="1"/>
    </xf>
    <xf numFmtId="0" fontId="62" fillId="0" borderId="32" xfId="0" applyFont="1" applyBorder="1"/>
    <xf numFmtId="0" fontId="62" fillId="0" borderId="33" xfId="0" applyFont="1" applyBorder="1"/>
    <xf numFmtId="49" fontId="62" fillId="0" borderId="0" xfId="3" applyNumberFormat="1" applyFont="1" applyFill="1"/>
    <xf numFmtId="0" fontId="62" fillId="0" borderId="0" xfId="0" applyFont="1" applyFill="1"/>
    <xf numFmtId="5" fontId="60" fillId="0" borderId="0" xfId="0" applyNumberFormat="1" applyFont="1" applyFill="1" applyBorder="1" applyAlignment="1">
      <alignment vertical="center"/>
    </xf>
    <xf numFmtId="37" fontId="60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3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3" fontId="60" fillId="0" borderId="0" xfId="1" applyFont="1" applyFill="1" applyAlignment="1">
      <alignment vertical="center"/>
    </xf>
    <xf numFmtId="0" fontId="60" fillId="0" borderId="0" xfId="0" applyFont="1" applyFill="1" applyAlignment="1">
      <alignment vertical="center"/>
    </xf>
    <xf numFmtId="5" fontId="69" fillId="0" borderId="0" xfId="0" applyNumberFormat="1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0" fontId="68" fillId="4" borderId="1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164" fontId="59" fillId="0" borderId="0" xfId="0" applyNumberFormat="1" applyFont="1" applyFill="1" applyAlignment="1">
      <alignment horizontal="left" vertical="center"/>
    </xf>
    <xf numFmtId="0" fontId="72" fillId="0" borderId="6" xfId="12" applyFont="1" applyFill="1" applyBorder="1"/>
    <xf numFmtId="0" fontId="72" fillId="0" borderId="2" xfId="12" applyFont="1" applyFill="1" applyBorder="1"/>
    <xf numFmtId="167" fontId="72" fillId="0" borderId="7" xfId="50934" applyNumberFormat="1" applyFont="1" applyFill="1" applyBorder="1"/>
    <xf numFmtId="164" fontId="70" fillId="0" borderId="5" xfId="12" applyNumberFormat="1" applyFont="1" applyFill="1" applyBorder="1" applyAlignment="1">
      <alignment horizontal="left" indent="3"/>
    </xf>
    <xf numFmtId="0" fontId="70" fillId="0" borderId="5" xfId="12" applyFont="1" applyFill="1" applyBorder="1"/>
    <xf numFmtId="167" fontId="70" fillId="0" borderId="3" xfId="50934" applyNumberFormat="1" applyFont="1" applyFill="1" applyBorder="1"/>
    <xf numFmtId="167" fontId="72" fillId="0" borderId="6" xfId="50934" applyNumberFormat="1" applyFont="1" applyFill="1" applyBorder="1"/>
    <xf numFmtId="0" fontId="72" fillId="0" borderId="7" xfId="12" applyFont="1" applyFill="1" applyBorder="1"/>
    <xf numFmtId="0" fontId="72" fillId="0" borderId="9" xfId="12" applyFont="1" applyFill="1" applyBorder="1"/>
    <xf numFmtId="164" fontId="70" fillId="0" borderId="13" xfId="12" applyNumberFormat="1" applyFont="1" applyFill="1" applyBorder="1"/>
    <xf numFmtId="164" fontId="70" fillId="0" borderId="5" xfId="12" applyNumberFormat="1" applyFont="1" applyFill="1" applyBorder="1"/>
    <xf numFmtId="0" fontId="72" fillId="0" borderId="0" xfId="12" applyFont="1" applyFill="1"/>
    <xf numFmtId="167" fontId="72" fillId="0" borderId="0" xfId="13" applyNumberFormat="1" applyFont="1" applyFill="1"/>
    <xf numFmtId="0" fontId="73" fillId="0" borderId="0" xfId="12" applyFont="1"/>
    <xf numFmtId="3" fontId="70" fillId="3" borderId="3" xfId="0" applyNumberFormat="1" applyFont="1" applyFill="1" applyBorder="1" applyAlignment="1">
      <alignment horizontal="center" wrapText="1"/>
    </xf>
    <xf numFmtId="3" fontId="74" fillId="0" borderId="0" xfId="0" applyNumberFormat="1" applyFont="1" applyFill="1"/>
    <xf numFmtId="41" fontId="72" fillId="0" borderId="0" xfId="4300" applyNumberFormat="1" applyFont="1"/>
    <xf numFmtId="41" fontId="72" fillId="0" borderId="0" xfId="1" applyNumberFormat="1" applyFont="1"/>
    <xf numFmtId="41" fontId="72" fillId="0" borderId="0" xfId="1" applyNumberFormat="1" applyFont="1" applyAlignment="1"/>
    <xf numFmtId="41" fontId="72" fillId="0" borderId="0" xfId="50939" applyNumberFormat="1" applyFont="1" applyAlignment="1"/>
    <xf numFmtId="41" fontId="70" fillId="0" borderId="13" xfId="1" applyNumberFormat="1" applyFont="1" applyBorder="1" applyAlignment="1"/>
    <xf numFmtId="41" fontId="70" fillId="0" borderId="0" xfId="50939" applyNumberFormat="1" applyFont="1" applyAlignment="1"/>
    <xf numFmtId="41" fontId="72" fillId="0" borderId="0" xfId="50940" applyNumberFormat="1" applyFont="1" applyAlignment="1"/>
    <xf numFmtId="41" fontId="70" fillId="0" borderId="0" xfId="50939" applyNumberFormat="1" applyFont="1" applyAlignment="1">
      <alignment horizontal="left"/>
    </xf>
    <xf numFmtId="43" fontId="72" fillId="0" borderId="0" xfId="1" applyFont="1" applyAlignment="1"/>
    <xf numFmtId="41" fontId="72" fillId="0" borderId="0" xfId="50939" applyNumberFormat="1" applyFont="1" applyAlignment="1">
      <alignment horizontal="left"/>
    </xf>
    <xf numFmtId="41" fontId="70" fillId="0" borderId="0" xfId="1" applyNumberFormat="1" applyFont="1"/>
    <xf numFmtId="41" fontId="70" fillId="0" borderId="0" xfId="50940" applyNumberFormat="1" applyFont="1" applyFill="1" applyBorder="1" applyAlignment="1"/>
    <xf numFmtId="41" fontId="70" fillId="0" borderId="0" xfId="50940" applyNumberFormat="1" applyFont="1" applyBorder="1" applyAlignment="1"/>
    <xf numFmtId="41" fontId="72" fillId="0" borderId="0" xfId="50940" applyNumberFormat="1" applyFont="1" applyFill="1" applyAlignment="1"/>
    <xf numFmtId="41" fontId="70" fillId="0" borderId="0" xfId="50940" applyNumberFormat="1" applyFont="1" applyAlignment="1"/>
    <xf numFmtId="41" fontId="70" fillId="0" borderId="13" xfId="50940" applyNumberFormat="1" applyFont="1" applyBorder="1" applyAlignment="1"/>
    <xf numFmtId="41" fontId="72" fillId="0" borderId="0" xfId="4300" applyNumberFormat="1" applyFont="1" applyAlignment="1">
      <alignment horizontal="left"/>
    </xf>
    <xf numFmtId="41" fontId="72" fillId="0" borderId="0" xfId="4300" applyNumberFormat="1" applyFont="1" applyAlignment="1"/>
    <xf numFmtId="41" fontId="72" fillId="0" borderId="0" xfId="4300" quotePrefix="1" applyNumberFormat="1" applyFont="1" applyAlignment="1">
      <alignment horizontal="center"/>
    </xf>
    <xf numFmtId="41" fontId="72" fillId="0" borderId="0" xfId="4300" applyNumberFormat="1" applyFont="1" applyFill="1" applyAlignment="1">
      <alignment horizontal="left"/>
    </xf>
    <xf numFmtId="165" fontId="72" fillId="0" borderId="0" xfId="1" applyNumberFormat="1" applyFont="1" applyAlignment="1"/>
    <xf numFmtId="0" fontId="72" fillId="0" borderId="0" xfId="50940" applyFont="1" applyAlignment="1"/>
    <xf numFmtId="169" fontId="72" fillId="0" borderId="0" xfId="50940" applyNumberFormat="1" applyFont="1" applyAlignment="1"/>
    <xf numFmtId="41" fontId="72" fillId="0" borderId="0" xfId="16" applyNumberFormat="1" applyFont="1"/>
    <xf numFmtId="41" fontId="72" fillId="0" borderId="0" xfId="16" quotePrefix="1" applyNumberFormat="1" applyFont="1" applyAlignment="1">
      <alignment horizontal="center"/>
    </xf>
    <xf numFmtId="0" fontId="72" fillId="0" borderId="0" xfId="50940" applyFont="1" applyAlignment="1">
      <alignment horizontal="left"/>
    </xf>
    <xf numFmtId="165" fontId="72" fillId="0" borderId="0" xfId="2234" applyNumberFormat="1" applyFont="1" applyAlignment="1"/>
    <xf numFmtId="0" fontId="72" fillId="0" borderId="0" xfId="4300" applyFont="1" applyBorder="1"/>
    <xf numFmtId="38" fontId="72" fillId="0" borderId="0" xfId="50940" applyNumberFormat="1" applyFont="1" applyAlignment="1"/>
    <xf numFmtId="41" fontId="72" fillId="0" borderId="0" xfId="16" applyNumberFormat="1" applyFont="1" applyAlignment="1"/>
    <xf numFmtId="0" fontId="70" fillId="0" borderId="0" xfId="50940" applyFont="1" applyAlignment="1"/>
    <xf numFmtId="0" fontId="72" fillId="0" borderId="0" xfId="4300" applyFont="1"/>
    <xf numFmtId="8" fontId="72" fillId="0" borderId="0" xfId="4300" applyNumberFormat="1" applyFont="1"/>
    <xf numFmtId="0" fontId="72" fillId="0" borderId="0" xfId="50940" applyFont="1" applyFill="1" applyAlignment="1"/>
    <xf numFmtId="165" fontId="72" fillId="0" borderId="0" xfId="1" applyNumberFormat="1" applyFont="1" applyFill="1" applyAlignment="1"/>
    <xf numFmtId="165" fontId="72" fillId="0" borderId="0" xfId="2234" applyNumberFormat="1" applyFont="1" applyFill="1" applyAlignment="1"/>
    <xf numFmtId="41" fontId="72" fillId="0" borderId="0" xfId="4300" applyNumberFormat="1" applyFont="1" applyBorder="1"/>
    <xf numFmtId="0" fontId="72" fillId="0" borderId="0" xfId="50940" applyFont="1" applyFill="1" applyAlignment="1">
      <alignment horizontal="left"/>
    </xf>
    <xf numFmtId="166" fontId="60" fillId="0" borderId="0" xfId="3" applyNumberFormat="1" applyFont="1" applyFill="1"/>
    <xf numFmtId="43" fontId="76" fillId="0" borderId="0" xfId="1" applyFont="1" applyFill="1" applyAlignment="1">
      <alignment horizontal="center" vertical="center"/>
    </xf>
    <xf numFmtId="43" fontId="72" fillId="0" borderId="0" xfId="1" applyFont="1" applyFill="1" applyAlignment="1">
      <alignment vertical="center"/>
    </xf>
    <xf numFmtId="0" fontId="70" fillId="3" borderId="12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center" vertical="center"/>
    </xf>
    <xf numFmtId="3" fontId="70" fillId="3" borderId="3" xfId="0" applyNumberFormat="1" applyFont="1" applyFill="1" applyBorder="1" applyAlignment="1">
      <alignment horizontal="center" vertical="center" wrapText="1"/>
    </xf>
    <xf numFmtId="3" fontId="70" fillId="3" borderId="3" xfId="0" applyNumberFormat="1" applyFont="1" applyFill="1" applyBorder="1" applyAlignment="1">
      <alignment horizontal="center" vertical="center"/>
    </xf>
    <xf numFmtId="5" fontId="73" fillId="0" borderId="0" xfId="10" applyNumberFormat="1" applyFont="1" applyFill="1" applyBorder="1" applyAlignment="1">
      <alignment horizontal="left" vertical="center"/>
    </xf>
    <xf numFmtId="5" fontId="73" fillId="0" borderId="0" xfId="10" applyNumberFormat="1" applyFont="1" applyFill="1" applyBorder="1" applyAlignment="1">
      <alignment vertical="center"/>
    </xf>
    <xf numFmtId="42" fontId="72" fillId="0" borderId="0" xfId="1" applyNumberFormat="1" applyFont="1" applyFill="1" applyBorder="1" applyAlignment="1">
      <alignment horizontal="left" vertical="center"/>
    </xf>
    <xf numFmtId="42" fontId="72" fillId="0" borderId="0" xfId="1" applyNumberFormat="1" applyFont="1" applyFill="1" applyBorder="1" applyAlignment="1">
      <alignment horizontal="center" vertical="center"/>
    </xf>
    <xf numFmtId="42" fontId="72" fillId="0" borderId="0" xfId="1" applyNumberFormat="1" applyFont="1" applyBorder="1" applyAlignment="1">
      <alignment horizontal="center" vertical="center"/>
    </xf>
    <xf numFmtId="165" fontId="72" fillId="0" borderId="0" xfId="1" applyNumberFormat="1" applyFont="1" applyFill="1" applyBorder="1" applyAlignment="1">
      <alignment vertical="center"/>
    </xf>
    <xf numFmtId="164" fontId="70" fillId="0" borderId="5" xfId="10" applyNumberFormat="1" applyFont="1" applyFill="1" applyBorder="1" applyAlignment="1">
      <alignment horizontal="left" vertical="center"/>
    </xf>
    <xf numFmtId="0" fontId="72" fillId="0" borderId="10" xfId="10" applyFont="1" applyBorder="1" applyAlignment="1">
      <alignment horizontal="center" vertical="center"/>
    </xf>
    <xf numFmtId="42" fontId="70" fillId="0" borderId="3" xfId="1" applyNumberFormat="1" applyFont="1" applyFill="1" applyBorder="1" applyAlignment="1">
      <alignment horizontal="left" vertical="center"/>
    </xf>
    <xf numFmtId="42" fontId="70" fillId="0" borderId="3" xfId="1" applyNumberFormat="1" applyFont="1" applyFill="1" applyBorder="1" applyAlignment="1">
      <alignment horizontal="center" vertical="center"/>
    </xf>
    <xf numFmtId="37" fontId="73" fillId="0" borderId="0" xfId="10" applyNumberFormat="1" applyFont="1" applyFill="1" applyBorder="1" applyAlignment="1">
      <alignment horizontal="left" vertical="center"/>
    </xf>
    <xf numFmtId="0" fontId="73" fillId="0" borderId="0" xfId="10" applyFont="1" applyFill="1" applyBorder="1" applyAlignment="1">
      <alignment vertical="center"/>
    </xf>
    <xf numFmtId="37" fontId="70" fillId="0" borderId="5" xfId="10" applyNumberFormat="1" applyFont="1" applyFill="1" applyBorder="1" applyAlignment="1">
      <alignment horizontal="left" vertical="center"/>
    </xf>
    <xf numFmtId="37" fontId="73" fillId="0" borderId="0" xfId="10" applyNumberFormat="1" applyFont="1" applyFill="1" applyBorder="1" applyAlignment="1">
      <alignment vertical="center"/>
    </xf>
    <xf numFmtId="0" fontId="73" fillId="0" borderId="0" xfId="10" applyFont="1" applyFill="1" applyBorder="1" applyAlignment="1">
      <alignment horizontal="left" vertical="center"/>
    </xf>
    <xf numFmtId="164" fontId="70" fillId="0" borderId="0" xfId="10" applyNumberFormat="1" applyFont="1" applyFill="1" applyBorder="1" applyAlignment="1">
      <alignment horizontal="left" vertical="center"/>
    </xf>
    <xf numFmtId="0" fontId="72" fillId="0" borderId="0" xfId="10" applyFont="1" applyBorder="1" applyAlignment="1">
      <alignment horizontal="center" vertical="center"/>
    </xf>
    <xf numFmtId="42" fontId="70" fillId="0" borderId="0" xfId="1" applyNumberFormat="1" applyFont="1" applyFill="1" applyBorder="1" applyAlignment="1">
      <alignment horizontal="left" vertical="center"/>
    </xf>
    <xf numFmtId="42" fontId="70" fillId="0" borderId="0" xfId="1" applyNumberFormat="1" applyFont="1" applyFill="1" applyBorder="1" applyAlignment="1">
      <alignment horizontal="center" vertical="center"/>
    </xf>
    <xf numFmtId="164" fontId="70" fillId="0" borderId="36" xfId="10" applyNumberFormat="1" applyFont="1" applyFill="1" applyBorder="1" applyAlignment="1">
      <alignment horizontal="left" vertical="center"/>
    </xf>
    <xf numFmtId="164" fontId="72" fillId="0" borderId="37" xfId="10" applyNumberFormat="1" applyFont="1" applyFill="1" applyBorder="1" applyAlignment="1">
      <alignment vertical="center"/>
    </xf>
    <xf numFmtId="42" fontId="70" fillId="0" borderId="39" xfId="1" applyNumberFormat="1" applyFont="1" applyFill="1" applyBorder="1" applyAlignment="1">
      <alignment horizontal="left" vertical="center"/>
    </xf>
    <xf numFmtId="42" fontId="70" fillId="0" borderId="39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center" vertical="center"/>
    </xf>
    <xf numFmtId="164" fontId="72" fillId="0" borderId="13" xfId="1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left" vertical="center"/>
    </xf>
    <xf numFmtId="43" fontId="25" fillId="0" borderId="0" xfId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vertical="top" wrapText="1"/>
    </xf>
    <xf numFmtId="2" fontId="55" fillId="0" borderId="0" xfId="0" applyNumberFormat="1" applyFont="1" applyFill="1"/>
    <xf numFmtId="2" fontId="25" fillId="0" borderId="0" xfId="0" applyNumberFormat="1" applyFont="1" applyFill="1"/>
    <xf numFmtId="2" fontId="60" fillId="0" borderId="0" xfId="0" applyNumberFormat="1" applyFont="1" applyFill="1"/>
    <xf numFmtId="44" fontId="60" fillId="0" borderId="0" xfId="0" applyNumberFormat="1" applyFont="1" applyFill="1"/>
    <xf numFmtId="0" fontId="75" fillId="0" borderId="0" xfId="0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70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2" fillId="0" borderId="0" xfId="0" applyNumberFormat="1" applyFont="1" applyFill="1"/>
    <xf numFmtId="0" fontId="70" fillId="3" borderId="9" xfId="0" applyFont="1" applyFill="1" applyBorder="1"/>
    <xf numFmtId="3" fontId="70" fillId="3" borderId="9" xfId="0" applyNumberFormat="1" applyFont="1" applyFill="1" applyBorder="1" applyAlignment="1">
      <alignment horizontal="center"/>
    </xf>
    <xf numFmtId="3" fontId="70" fillId="3" borderId="7" xfId="0" applyNumberFormat="1" applyFont="1" applyFill="1" applyBorder="1"/>
    <xf numFmtId="3" fontId="70" fillId="5" borderId="7" xfId="0" applyNumberFormat="1" applyFont="1" applyFill="1" applyBorder="1" applyAlignment="1">
      <alignment horizontal="center"/>
    </xf>
    <xf numFmtId="3" fontId="70" fillId="3" borderId="7" xfId="0" applyNumberFormat="1" applyFont="1" applyFill="1" applyBorder="1" applyAlignment="1">
      <alignment horizontal="center"/>
    </xf>
    <xf numFmtId="3" fontId="70" fillId="0" borderId="7" xfId="0" applyNumberFormat="1" applyFont="1" applyFill="1" applyBorder="1" applyAlignment="1">
      <alignment horizontal="center"/>
    </xf>
    <xf numFmtId="0" fontId="70" fillId="3" borderId="12" xfId="11" applyFont="1" applyFill="1" applyBorder="1" applyAlignment="1">
      <alignment horizontal="center"/>
    </xf>
    <xf numFmtId="3" fontId="70" fillId="3" borderId="12" xfId="11" applyNumberFormat="1" applyFont="1" applyFill="1" applyBorder="1" applyAlignment="1">
      <alignment horizontal="center"/>
    </xf>
    <xf numFmtId="3" fontId="70" fillId="3" borderId="24" xfId="11" applyNumberFormat="1" applyFont="1" applyFill="1" applyBorder="1" applyAlignment="1">
      <alignment horizontal="center"/>
    </xf>
    <xf numFmtId="3" fontId="70" fillId="5" borderId="24" xfId="11" applyNumberFormat="1" applyFont="1" applyFill="1" applyBorder="1" applyAlignment="1">
      <alignment horizontal="center"/>
    </xf>
    <xf numFmtId="3" fontId="70" fillId="3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70" fillId="0" borderId="0" xfId="11" applyFont="1" applyFill="1" applyBorder="1" applyAlignment="1">
      <alignment horizontal="center"/>
    </xf>
    <xf numFmtId="3" fontId="70" fillId="0" borderId="0" xfId="11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3" fillId="0" borderId="0" xfId="10" applyFont="1" applyFill="1" applyBorder="1" applyAlignment="1">
      <alignment horizontal="left"/>
    </xf>
    <xf numFmtId="3" fontId="73" fillId="0" borderId="0" xfId="10" quotePrefix="1" applyNumberFormat="1" applyFont="1" applyFill="1" applyBorder="1" applyAlignment="1">
      <alignment horizontal="center"/>
    </xf>
    <xf numFmtId="42" fontId="72" fillId="0" borderId="0" xfId="0" applyNumberFormat="1" applyFont="1" applyFill="1" applyBorder="1" applyAlignment="1"/>
    <xf numFmtId="43" fontId="72" fillId="0" borderId="0" xfId="1" applyFont="1" applyFill="1"/>
    <xf numFmtId="1" fontId="73" fillId="0" borderId="0" xfId="10" quotePrefix="1" applyNumberFormat="1" applyFont="1" applyFill="1" applyBorder="1" applyAlignment="1">
      <alignment horizontal="center"/>
    </xf>
    <xf numFmtId="164" fontId="70" fillId="0" borderId="5" xfId="10" applyNumberFormat="1" applyFont="1" applyFill="1" applyBorder="1" applyAlignment="1">
      <alignment horizontal="left" indent="3"/>
    </xf>
    <xf numFmtId="164" fontId="75" fillId="0" borderId="10" xfId="10" quotePrefix="1" applyNumberFormat="1" applyFont="1" applyFill="1" applyBorder="1" applyAlignment="1">
      <alignment horizontal="center"/>
    </xf>
    <xf numFmtId="42" fontId="70" fillId="0" borderId="3" xfId="0" applyNumberFormat="1" applyFont="1" applyFill="1" applyBorder="1" applyAlignment="1"/>
    <xf numFmtId="164" fontId="75" fillId="0" borderId="0" xfId="10" applyNumberFormat="1" applyFont="1" applyFill="1" applyBorder="1" applyAlignment="1">
      <alignment horizontal="left" indent="3"/>
    </xf>
    <xf numFmtId="164" fontId="75" fillId="0" borderId="0" xfId="10" quotePrefix="1" applyNumberFormat="1" applyFont="1" applyFill="1" applyBorder="1" applyAlignment="1">
      <alignment horizontal="center"/>
    </xf>
    <xf numFmtId="42" fontId="70" fillId="0" borderId="0" xfId="0" applyNumberFormat="1" applyFont="1" applyFill="1" applyBorder="1" applyAlignment="1"/>
    <xf numFmtId="0" fontId="73" fillId="0" borderId="0" xfId="0" applyFont="1" applyFill="1" applyBorder="1" applyAlignment="1">
      <alignment horizontal="left"/>
    </xf>
    <xf numFmtId="3" fontId="73" fillId="0" borderId="0" xfId="0" quotePrefix="1" applyNumberFormat="1" applyFont="1" applyFill="1" applyBorder="1" applyAlignment="1">
      <alignment horizontal="center"/>
    </xf>
    <xf numFmtId="164" fontId="75" fillId="0" borderId="10" xfId="10" applyNumberFormat="1" applyFont="1" applyFill="1" applyBorder="1" applyAlignment="1">
      <alignment horizontal="center"/>
    </xf>
    <xf numFmtId="164" fontId="75" fillId="0" borderId="0" xfId="10" applyNumberFormat="1" applyFont="1" applyFill="1" applyBorder="1" applyAlignment="1">
      <alignment horizontal="center"/>
    </xf>
    <xf numFmtId="0" fontId="73" fillId="0" borderId="0" xfId="10" applyFont="1" applyBorder="1"/>
    <xf numFmtId="0" fontId="73" fillId="0" borderId="0" xfId="10" quotePrefix="1" applyFont="1" applyBorder="1" applyAlignment="1">
      <alignment horizontal="center"/>
    </xf>
    <xf numFmtId="0" fontId="73" fillId="0" borderId="0" xfId="10" applyFont="1" applyBorder="1" applyAlignment="1">
      <alignment horizontal="center"/>
    </xf>
    <xf numFmtId="164" fontId="73" fillId="0" borderId="0" xfId="10" applyNumberFormat="1" applyFont="1" applyFill="1" applyBorder="1" applyAlignment="1">
      <alignment horizontal="left"/>
    </xf>
    <xf numFmtId="164" fontId="73" fillId="0" borderId="0" xfId="10" quotePrefix="1" applyNumberFormat="1" applyFont="1" applyFill="1" applyBorder="1" applyAlignment="1">
      <alignment horizontal="center"/>
    </xf>
    <xf numFmtId="0" fontId="73" fillId="0" borderId="0" xfId="10" applyFont="1" applyFill="1" applyBorder="1"/>
    <xf numFmtId="0" fontId="73" fillId="0" borderId="0" xfId="10" quotePrefix="1" applyFont="1" applyFill="1" applyBorder="1" applyAlignment="1">
      <alignment horizontal="center"/>
    </xf>
    <xf numFmtId="0" fontId="73" fillId="0" borderId="0" xfId="10" applyFont="1" applyBorder="1" applyAlignment="1">
      <alignment horizontal="center" wrapText="1"/>
    </xf>
    <xf numFmtId="42" fontId="70" fillId="0" borderId="10" xfId="0" applyNumberFormat="1" applyFont="1" applyFill="1" applyBorder="1" applyAlignment="1"/>
    <xf numFmtId="0" fontId="73" fillId="0" borderId="0" xfId="10" applyFont="1" applyBorder="1" applyAlignment="1">
      <alignment horizontal="left"/>
    </xf>
    <xf numFmtId="164" fontId="70" fillId="0" borderId="10" xfId="10" applyNumberFormat="1" applyFont="1" applyFill="1" applyBorder="1" applyAlignment="1">
      <alignment horizontal="center"/>
    </xf>
    <xf numFmtId="164" fontId="70" fillId="0" borderId="0" xfId="10" applyNumberFormat="1" applyFont="1" applyFill="1" applyBorder="1" applyAlignment="1">
      <alignment horizontal="left" indent="3"/>
    </xf>
    <xf numFmtId="164" fontId="70" fillId="0" borderId="0" xfId="10" applyNumberFormat="1" applyFont="1" applyFill="1" applyBorder="1" applyAlignment="1">
      <alignment horizontal="center"/>
    </xf>
    <xf numFmtId="164" fontId="70" fillId="0" borderId="36" xfId="10" applyNumberFormat="1" applyFont="1" applyFill="1" applyBorder="1"/>
    <xf numFmtId="164" fontId="70" fillId="0" borderId="37" xfId="10" applyNumberFormat="1" applyFont="1" applyFill="1" applyBorder="1" applyAlignment="1">
      <alignment horizontal="center"/>
    </xf>
    <xf numFmtId="42" fontId="70" fillId="0" borderId="37" xfId="0" applyNumberFormat="1" applyFont="1" applyFill="1" applyBorder="1" applyAlignment="1"/>
    <xf numFmtId="42" fontId="70" fillId="0" borderId="39" xfId="0" applyNumberFormat="1" applyFont="1" applyFill="1" applyBorder="1" applyAlignment="1"/>
    <xf numFmtId="0" fontId="7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72" fillId="5" borderId="11" xfId="0" applyFont="1" applyFill="1" applyBorder="1" applyAlignment="1">
      <alignment horizontal="center"/>
    </xf>
    <xf numFmtId="0" fontId="72" fillId="5" borderId="7" xfId="0" applyFont="1" applyFill="1" applyBorder="1" applyAlignment="1"/>
    <xf numFmtId="0" fontId="72" fillId="5" borderId="7" xfId="0" applyFont="1" applyFill="1" applyBorder="1" applyAlignment="1">
      <alignment horizontal="center"/>
    </xf>
    <xf numFmtId="0" fontId="72" fillId="5" borderId="8" xfId="0" applyFont="1" applyFill="1" applyBorder="1" applyAlignment="1">
      <alignment horizontal="center"/>
    </xf>
    <xf numFmtId="0" fontId="75" fillId="3" borderId="12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3" fontId="70" fillId="3" borderId="24" xfId="0" applyNumberFormat="1" applyFont="1" applyFill="1" applyBorder="1" applyAlignment="1">
      <alignment horizontal="center" vertical="center"/>
    </xf>
    <xf numFmtId="3" fontId="75" fillId="3" borderId="4" xfId="0" applyNumberFormat="1" applyFont="1" applyFill="1" applyBorder="1" applyAlignment="1">
      <alignment horizontal="center" vertical="center" wrapText="1"/>
    </xf>
    <xf numFmtId="3" fontId="70" fillId="3" borderId="4" xfId="0" applyNumberFormat="1" applyFont="1" applyFill="1" applyBorder="1" applyAlignment="1">
      <alignment horizontal="center" vertical="center" wrapText="1"/>
    </xf>
    <xf numFmtId="3" fontId="70" fillId="3" borderId="13" xfId="0" applyNumberFormat="1" applyFont="1" applyFill="1" applyBorder="1" applyAlignment="1">
      <alignment horizontal="center" vertical="center" wrapText="1"/>
    </xf>
    <xf numFmtId="3" fontId="70" fillId="3" borderId="24" xfId="0" applyNumberFormat="1" applyFont="1" applyFill="1" applyBorder="1" applyAlignment="1">
      <alignment horizontal="center" vertical="center" wrapText="1"/>
    </xf>
    <xf numFmtId="3" fontId="70" fillId="3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horizontal="right" vertical="center"/>
    </xf>
    <xf numFmtId="42" fontId="70" fillId="0" borderId="3" xfId="0" applyNumberFormat="1" applyFont="1" applyFill="1" applyBorder="1" applyAlignment="1">
      <alignment horizontal="right" vertical="center"/>
    </xf>
    <xf numFmtId="5" fontId="70" fillId="0" borderId="0" xfId="0" applyNumberFormat="1" applyFont="1" applyFill="1" applyBorder="1" applyAlignment="1">
      <alignment horizontal="left" vertical="center"/>
    </xf>
    <xf numFmtId="37" fontId="70" fillId="0" borderId="0" xfId="0" applyNumberFormat="1" applyFont="1" applyFill="1" applyBorder="1" applyAlignment="1">
      <alignment horizontal="left" vertical="center"/>
    </xf>
    <xf numFmtId="164" fontId="75" fillId="0" borderId="38" xfId="10" applyNumberFormat="1" applyFont="1" applyFill="1" applyBorder="1" applyAlignment="1">
      <alignment horizontal="left" vertical="center"/>
    </xf>
    <xf numFmtId="42" fontId="70" fillId="0" borderId="38" xfId="0" applyNumberFormat="1" applyFont="1" applyFill="1" applyBorder="1" applyAlignment="1">
      <alignment horizontal="left" vertical="center"/>
    </xf>
    <xf numFmtId="42" fontId="70" fillId="0" borderId="37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5" borderId="9" xfId="0" applyFont="1" applyFill="1" applyBorder="1" applyAlignment="1">
      <alignment horizontal="center"/>
    </xf>
    <xf numFmtId="0" fontId="75" fillId="0" borderId="0" xfId="3" applyFont="1" applyFill="1" applyAlignment="1">
      <alignment horizontal="centerContinuous"/>
    </xf>
    <xf numFmtId="0" fontId="70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"/>
    </xf>
    <xf numFmtId="49" fontId="78" fillId="0" borderId="0" xfId="3" applyNumberFormat="1" applyFont="1" applyFill="1" applyAlignment="1">
      <alignment horizontal="left" indent="1"/>
    </xf>
    <xf numFmtId="0" fontId="70" fillId="3" borderId="0" xfId="3" applyFont="1" applyFill="1" applyBorder="1" applyAlignment="1">
      <alignment horizontal="center" wrapText="1"/>
    </xf>
    <xf numFmtId="0" fontId="25" fillId="0" borderId="0" xfId="3" applyFont="1" applyFill="1" applyAlignment="1">
      <alignment wrapText="1"/>
    </xf>
    <xf numFmtId="0" fontId="72" fillId="0" borderId="0" xfId="3" applyFont="1" applyFill="1" applyBorder="1"/>
    <xf numFmtId="49" fontId="72" fillId="0" borderId="0" xfId="3" applyNumberFormat="1" applyFont="1" applyFill="1" applyBorder="1" applyAlignment="1">
      <alignment horizontal="left" indent="1"/>
    </xf>
    <xf numFmtId="0" fontId="72" fillId="0" borderId="0" xfId="3" applyFont="1" applyFill="1"/>
    <xf numFmtId="0" fontId="73" fillId="0" borderId="0" xfId="1" quotePrefix="1" applyNumberFormat="1" applyFont="1" applyFill="1" applyBorder="1" applyAlignment="1">
      <alignment vertical="top"/>
    </xf>
    <xf numFmtId="165" fontId="73" fillId="0" borderId="0" xfId="1" applyNumberFormat="1" applyFont="1" applyFill="1" applyBorder="1" applyAlignment="1">
      <alignment vertical="top" wrapText="1"/>
    </xf>
    <xf numFmtId="166" fontId="72" fillId="0" borderId="0" xfId="2" applyNumberFormat="1" applyFont="1" applyFill="1" applyBorder="1"/>
    <xf numFmtId="49" fontId="72" fillId="0" borderId="0" xfId="2" applyNumberFormat="1" applyFont="1" applyFill="1" applyBorder="1" applyAlignment="1">
      <alignment horizontal="center"/>
    </xf>
    <xf numFmtId="43" fontId="79" fillId="0" borderId="0" xfId="1" applyFont="1" applyFill="1"/>
    <xf numFmtId="49" fontId="72" fillId="0" borderId="0" xfId="1" applyNumberFormat="1" applyFont="1" applyFill="1" applyBorder="1" applyAlignment="1">
      <alignment horizontal="center"/>
    </xf>
    <xf numFmtId="0" fontId="70" fillId="0" borderId="3" xfId="3" applyFont="1" applyFill="1" applyBorder="1" applyAlignment="1"/>
    <xf numFmtId="0" fontId="75" fillId="0" borderId="3" xfId="3" applyFont="1" applyFill="1" applyBorder="1"/>
    <xf numFmtId="166" fontId="70" fillId="0" borderId="3" xfId="2" applyNumberFormat="1" applyFont="1" applyFill="1" applyBorder="1"/>
    <xf numFmtId="165" fontId="80" fillId="0" borderId="0" xfId="1" applyNumberFormat="1" applyFont="1" applyFill="1" applyBorder="1"/>
    <xf numFmtId="165" fontId="78" fillId="0" borderId="0" xfId="1" applyNumberFormat="1" applyFont="1" applyFill="1" applyBorder="1" applyAlignment="1">
      <alignment horizontal="center"/>
    </xf>
    <xf numFmtId="165" fontId="81" fillId="0" borderId="0" xfId="1" applyNumberFormat="1" applyFont="1" applyFill="1" applyBorder="1"/>
    <xf numFmtId="49" fontId="80" fillId="0" borderId="0" xfId="1" applyNumberFormat="1" applyFont="1" applyFill="1" applyBorder="1" applyAlignment="1">
      <alignment horizontal="center"/>
    </xf>
    <xf numFmtId="43" fontId="80" fillId="0" borderId="0" xfId="1" applyFont="1" applyFill="1" applyBorder="1" applyAlignment="1">
      <alignment horizontal="center"/>
    </xf>
    <xf numFmtId="0" fontId="70" fillId="0" borderId="39" xfId="3" applyFont="1" applyFill="1" applyBorder="1"/>
    <xf numFmtId="0" fontId="75" fillId="0" borderId="39" xfId="3" applyFont="1" applyFill="1" applyBorder="1"/>
    <xf numFmtId="166" fontId="70" fillId="0" borderId="39" xfId="2" applyNumberFormat="1" applyFont="1" applyFill="1" applyBorder="1"/>
    <xf numFmtId="0" fontId="77" fillId="0" borderId="0" xfId="3" applyFont="1" applyFill="1" applyBorder="1"/>
    <xf numFmtId="0" fontId="75" fillId="0" borderId="0" xfId="3" applyFont="1" applyFill="1" applyBorder="1"/>
    <xf numFmtId="166" fontId="70" fillId="0" borderId="0" xfId="2" applyNumberFormat="1" applyFont="1" applyFill="1" applyBorder="1"/>
    <xf numFmtId="49" fontId="70" fillId="0" borderId="0" xfId="2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0" fontId="73" fillId="0" borderId="0" xfId="3" applyFont="1" applyFill="1" applyBorder="1"/>
    <xf numFmtId="0" fontId="75" fillId="0" borderId="0" xfId="3" applyFont="1" applyFill="1" applyBorder="1" applyAlignment="1">
      <alignment horizontal="left" inden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0" fontId="72" fillId="0" borderId="0" xfId="3" applyFont="1" applyFill="1" applyBorder="1" applyAlignment="1">
      <alignment horizontal="left" indent="1"/>
    </xf>
    <xf numFmtId="165" fontId="72" fillId="0" borderId="0" xfId="1" applyNumberFormat="1" applyFont="1" applyFill="1" applyBorder="1"/>
    <xf numFmtId="166" fontId="79" fillId="0" borderId="0" xfId="3" applyNumberFormat="1" applyFont="1" applyFill="1" applyBorder="1"/>
    <xf numFmtId="0" fontId="70" fillId="0" borderId="0" xfId="3" applyFont="1" applyFill="1" applyBorder="1"/>
    <xf numFmtId="0" fontId="73" fillId="0" borderId="0" xfId="3" applyNumberFormat="1" applyFont="1" applyFill="1" applyAlignment="1">
      <alignment horizontal="left"/>
    </xf>
    <xf numFmtId="49" fontId="73" fillId="0" borderId="0" xfId="3" applyNumberFormat="1" applyFont="1" applyFill="1" applyAlignment="1">
      <alignment wrapText="1"/>
    </xf>
    <xf numFmtId="43" fontId="73" fillId="0" borderId="0" xfId="1" applyFont="1" applyFill="1" applyAlignment="1">
      <alignment wrapText="1"/>
    </xf>
    <xf numFmtId="0" fontId="72" fillId="0" borderId="0" xfId="0" applyFont="1"/>
    <xf numFmtId="49" fontId="73" fillId="0" borderId="0" xfId="3" applyNumberFormat="1" applyFont="1" applyFill="1" applyAlignment="1">
      <alignment horizontal="left" wrapText="1"/>
    </xf>
    <xf numFmtId="0" fontId="72" fillId="0" borderId="0" xfId="4300" applyFont="1" applyFill="1"/>
    <xf numFmtId="0" fontId="70" fillId="0" borderId="0" xfId="4300" applyFont="1" applyAlignment="1">
      <alignment horizontal="left"/>
    </xf>
    <xf numFmtId="0" fontId="70" fillId="0" borderId="0" xfId="4300" applyFont="1" applyAlignment="1"/>
    <xf numFmtId="49" fontId="70" fillId="0" borderId="0" xfId="4300" applyNumberFormat="1" applyFont="1" applyAlignment="1">
      <alignment horizontal="left"/>
    </xf>
    <xf numFmtId="0" fontId="70" fillId="0" borderId="0" xfId="4300" applyFont="1" applyAlignment="1">
      <alignment horizontal="center"/>
    </xf>
    <xf numFmtId="41" fontId="70" fillId="0" borderId="0" xfId="4300" applyNumberFormat="1" applyFont="1" applyAlignment="1">
      <alignment horizontal="center"/>
    </xf>
    <xf numFmtId="38" fontId="72" fillId="0" borderId="50" xfId="4300" applyNumberFormat="1" applyFont="1" applyBorder="1" applyAlignment="1">
      <alignment horizontal="center"/>
    </xf>
    <xf numFmtId="38" fontId="72" fillId="0" borderId="40" xfId="4300" applyNumberFormat="1" applyFont="1" applyBorder="1" applyAlignment="1">
      <alignment horizontal="center"/>
    </xf>
    <xf numFmtId="38" fontId="72" fillId="0" borderId="40" xfId="4300" applyNumberFormat="1" applyFont="1" applyFill="1" applyBorder="1" applyAlignment="1">
      <alignment horizontal="center"/>
    </xf>
    <xf numFmtId="38" fontId="72" fillId="0" borderId="41" xfId="4300" applyNumberFormat="1" applyFont="1" applyBorder="1" applyAlignment="1">
      <alignment horizontal="center"/>
    </xf>
    <xf numFmtId="38" fontId="72" fillId="0" borderId="0" xfId="4300" applyNumberFormat="1" applyFont="1" applyBorder="1" applyAlignment="1">
      <alignment horizontal="center" vertical="center" wrapText="1"/>
    </xf>
    <xf numFmtId="38" fontId="72" fillId="0" borderId="55" xfId="4300" applyNumberFormat="1" applyFont="1" applyBorder="1" applyAlignment="1">
      <alignment horizontal="center" vertical="center" wrapText="1"/>
    </xf>
    <xf numFmtId="38" fontId="72" fillId="0" borderId="42" xfId="4300" applyNumberFormat="1" applyFont="1" applyBorder="1" applyAlignment="1">
      <alignment horizontal="center" vertical="center" wrapText="1"/>
    </xf>
    <xf numFmtId="38" fontId="72" fillId="0" borderId="42" xfId="4300" applyNumberFormat="1" applyFont="1" applyFill="1" applyBorder="1" applyAlignment="1">
      <alignment horizontal="center" vertical="center" wrapText="1"/>
    </xf>
    <xf numFmtId="38" fontId="72" fillId="0" borderId="43" xfId="4300" applyNumberFormat="1" applyFont="1" applyBorder="1" applyAlignment="1">
      <alignment horizontal="center" vertical="center"/>
    </xf>
    <xf numFmtId="0" fontId="70" fillId="0" borderId="47" xfId="4300" applyFont="1" applyBorder="1" applyAlignment="1">
      <alignment horizontal="center"/>
    </xf>
    <xf numFmtId="0" fontId="70" fillId="28" borderId="56" xfId="4300" applyFont="1" applyFill="1" applyBorder="1" applyAlignment="1">
      <alignment horizontal="center"/>
    </xf>
    <xf numFmtId="41" fontId="72" fillId="0" borderId="57" xfId="4300" applyNumberFormat="1" applyFont="1" applyBorder="1"/>
    <xf numFmtId="41" fontId="72" fillId="0" borderId="58" xfId="4300" applyNumberFormat="1" applyFont="1" applyBorder="1"/>
    <xf numFmtId="41" fontId="72" fillId="0" borderId="59" xfId="4300" applyNumberFormat="1" applyFont="1" applyBorder="1"/>
    <xf numFmtId="41" fontId="72" fillId="0" borderId="57" xfId="4300" applyNumberFormat="1" applyFont="1" applyFill="1" applyBorder="1"/>
    <xf numFmtId="41" fontId="72" fillId="0" borderId="60" xfId="4300" applyNumberFormat="1" applyFont="1" applyFill="1" applyBorder="1"/>
    <xf numFmtId="41" fontId="72" fillId="0" borderId="61" xfId="4300" applyNumberFormat="1" applyFont="1" applyFill="1" applyBorder="1"/>
    <xf numFmtId="0" fontId="70" fillId="0" borderId="3" xfId="4300" applyFont="1" applyBorder="1" applyAlignment="1">
      <alignment horizontal="center"/>
    </xf>
    <xf numFmtId="0" fontId="72" fillId="0" borderId="3" xfId="4300" applyFont="1" applyFill="1" applyBorder="1" applyAlignment="1">
      <alignment vertical="center" wrapText="1"/>
    </xf>
    <xf numFmtId="0" fontId="72" fillId="0" borderId="7" xfId="4300" applyFont="1" applyFill="1" applyBorder="1" applyAlignment="1">
      <alignment vertical="center" wrapText="1"/>
    </xf>
    <xf numFmtId="41" fontId="72" fillId="0" borderId="6" xfId="4300" applyNumberFormat="1" applyFont="1" applyFill="1" applyBorder="1"/>
    <xf numFmtId="41" fontId="72" fillId="0" borderId="3" xfId="4300" applyNumberFormat="1" applyFont="1" applyFill="1" applyBorder="1"/>
    <xf numFmtId="0" fontId="70" fillId="0" borderId="3" xfId="4300" applyFont="1" applyFill="1" applyBorder="1" applyAlignment="1">
      <alignment horizontal="center" vertical="center"/>
    </xf>
    <xf numFmtId="0" fontId="72" fillId="0" borderId="10" xfId="4300" applyFont="1" applyFill="1" applyBorder="1" applyAlignment="1">
      <alignment vertical="center" wrapText="1"/>
    </xf>
    <xf numFmtId="43" fontId="72" fillId="0" borderId="3" xfId="4300" applyNumberFormat="1" applyFont="1" applyFill="1" applyBorder="1"/>
    <xf numFmtId="0" fontId="70" fillId="0" borderId="7" xfId="4300" applyFont="1" applyBorder="1" applyAlignment="1">
      <alignment horizontal="center"/>
    </xf>
    <xf numFmtId="0" fontId="70" fillId="28" borderId="47" xfId="4300" applyFont="1" applyFill="1" applyBorder="1" applyAlignment="1">
      <alignment horizontal="center"/>
    </xf>
    <xf numFmtId="0" fontId="70" fillId="28" borderId="49" xfId="4300" applyFont="1" applyFill="1" applyBorder="1" applyAlignment="1">
      <alignment horizontal="center" wrapText="1"/>
    </xf>
    <xf numFmtId="41" fontId="70" fillId="28" borderId="44" xfId="4300" applyNumberFormat="1" applyFont="1" applyFill="1" applyBorder="1"/>
    <xf numFmtId="0" fontId="72" fillId="0" borderId="30" xfId="4300" applyFont="1" applyBorder="1"/>
    <xf numFmtId="0" fontId="75" fillId="0" borderId="48" xfId="4300" applyFont="1" applyFill="1" applyBorder="1" applyAlignment="1">
      <alignment horizontal="right" wrapText="1"/>
    </xf>
    <xf numFmtId="41" fontId="72" fillId="0" borderId="45" xfId="4300" applyNumberFormat="1" applyFont="1" applyBorder="1"/>
    <xf numFmtId="41" fontId="72" fillId="0" borderId="62" xfId="4300" applyNumberFormat="1" applyFont="1" applyBorder="1"/>
    <xf numFmtId="0" fontId="75" fillId="0" borderId="0" xfId="4300" applyFont="1" applyFill="1" applyBorder="1" applyAlignment="1">
      <alignment horizontal="right" wrapText="1"/>
    </xf>
    <xf numFmtId="41" fontId="72" fillId="0" borderId="46" xfId="4300" applyNumberFormat="1" applyFont="1" applyBorder="1"/>
    <xf numFmtId="41" fontId="72" fillId="0" borderId="31" xfId="4300" applyNumberFormat="1" applyFont="1" applyBorder="1"/>
    <xf numFmtId="0" fontId="72" fillId="28" borderId="47" xfId="4300" applyFont="1" applyFill="1" applyBorder="1"/>
    <xf numFmtId="0" fontId="72" fillId="0" borderId="0" xfId="4300" applyFont="1" applyAlignment="1">
      <alignment horizontal="center"/>
    </xf>
    <xf numFmtId="0" fontId="72" fillId="0" borderId="0" xfId="4300" applyFont="1" applyFill="1" applyBorder="1"/>
    <xf numFmtId="38" fontId="70" fillId="0" borderId="0" xfId="4300" applyNumberFormat="1" applyFont="1" applyBorder="1"/>
    <xf numFmtId="0" fontId="72" fillId="0" borderId="0" xfId="0" applyFont="1" applyFill="1" applyBorder="1"/>
    <xf numFmtId="0" fontId="72" fillId="0" borderId="2" xfId="0" applyFont="1" applyFill="1" applyBorder="1" applyAlignment="1">
      <alignment shrinkToFit="1"/>
    </xf>
    <xf numFmtId="165" fontId="72" fillId="0" borderId="6" xfId="13" applyNumberFormat="1" applyFont="1" applyFill="1" applyBorder="1"/>
    <xf numFmtId="39" fontId="72" fillId="0" borderId="6" xfId="13" applyNumberFormat="1" applyFont="1" applyFill="1" applyBorder="1" applyAlignment="1">
      <alignment horizontal="right"/>
    </xf>
    <xf numFmtId="167" fontId="72" fillId="0" borderId="6" xfId="13" applyNumberFormat="1" applyFont="1" applyFill="1" applyBorder="1" applyAlignment="1">
      <alignment horizontal="center"/>
    </xf>
    <xf numFmtId="167" fontId="72" fillId="0" borderId="6" xfId="13" applyNumberFormat="1" applyFont="1" applyFill="1" applyBorder="1"/>
    <xf numFmtId="165" fontId="72" fillId="0" borderId="6" xfId="13" applyNumberFormat="1" applyFont="1" applyFill="1" applyBorder="1" applyAlignment="1">
      <alignment horizontal="center"/>
    </xf>
    <xf numFmtId="165" fontId="72" fillId="0" borderId="6" xfId="13" applyNumberFormat="1" applyFont="1" applyFill="1" applyBorder="1" applyAlignment="1">
      <alignment horizontal="right"/>
    </xf>
    <xf numFmtId="166" fontId="70" fillId="0" borderId="0" xfId="14" applyNumberFormat="1" applyFont="1" applyFill="1" applyBorder="1"/>
    <xf numFmtId="0" fontId="73" fillId="0" borderId="0" xfId="0" applyFont="1" applyFill="1"/>
    <xf numFmtId="0" fontId="72" fillId="0" borderId="0" xfId="0" applyFont="1" applyBorder="1" applyAlignment="1">
      <alignment horizontal="center"/>
    </xf>
    <xf numFmtId="37" fontId="72" fillId="0" borderId="0" xfId="0" applyNumberFormat="1" applyFont="1" applyBorder="1" applyAlignment="1">
      <alignment horizontal="center"/>
    </xf>
    <xf numFmtId="0" fontId="70" fillId="3" borderId="1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3" fontId="70" fillId="3" borderId="35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 wrapText="1"/>
    </xf>
    <xf numFmtId="3" fontId="75" fillId="3" borderId="3" xfId="0" applyNumberFormat="1" applyFont="1" applyFill="1" applyBorder="1" applyAlignment="1">
      <alignment horizontal="center" vertical="center" wrapText="1"/>
    </xf>
    <xf numFmtId="3" fontId="70" fillId="3" borderId="5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vertical="center"/>
    </xf>
    <xf numFmtId="42" fontId="70" fillId="0" borderId="3" xfId="0" applyNumberFormat="1" applyFont="1" applyFill="1" applyBorder="1" applyAlignment="1">
      <alignment vertical="center"/>
    </xf>
    <xf numFmtId="164" fontId="70" fillId="0" borderId="0" xfId="0" applyNumberFormat="1" applyFont="1" applyFill="1" applyAlignment="1">
      <alignment vertical="center"/>
    </xf>
    <xf numFmtId="164" fontId="73" fillId="0" borderId="0" xfId="10" applyNumberFormat="1" applyFont="1" applyFill="1" applyBorder="1" applyAlignment="1">
      <alignment vertical="center"/>
    </xf>
    <xf numFmtId="0" fontId="84" fillId="0" borderId="0" xfId="32600" applyFont="1" applyBorder="1" applyAlignment="1">
      <alignment vertical="center"/>
    </xf>
    <xf numFmtId="42" fontId="70" fillId="0" borderId="0" xfId="0" applyNumberFormat="1" applyFont="1" applyFill="1" applyBorder="1" applyAlignment="1">
      <alignment vertical="center"/>
    </xf>
    <xf numFmtId="164" fontId="75" fillId="0" borderId="39" xfId="10" applyNumberFormat="1" applyFont="1" applyFill="1" applyBorder="1" applyAlignment="1">
      <alignment vertical="center"/>
    </xf>
    <xf numFmtId="42" fontId="70" fillId="0" borderId="39" xfId="0" applyNumberFormat="1" applyFont="1" applyFill="1" applyBorder="1" applyAlignment="1">
      <alignment vertical="center"/>
    </xf>
    <xf numFmtId="0" fontId="85" fillId="4" borderId="14" xfId="0" applyFont="1" applyFill="1" applyBorder="1" applyAlignment="1">
      <alignment vertical="center"/>
    </xf>
    <xf numFmtId="167" fontId="72" fillId="0" borderId="7" xfId="16" applyNumberFormat="1" applyFont="1" applyFill="1" applyBorder="1"/>
    <xf numFmtId="167" fontId="72" fillId="0" borderId="6" xfId="16" applyNumberFormat="1" applyFont="1" applyFill="1" applyBorder="1"/>
    <xf numFmtId="167" fontId="70" fillId="0" borderId="3" xfId="16" applyNumberFormat="1" applyFont="1" applyFill="1" applyBorder="1"/>
    <xf numFmtId="167" fontId="70" fillId="0" borderId="3" xfId="16" applyNumberFormat="1" applyFont="1" applyFill="1" applyBorder="1" applyAlignment="1"/>
    <xf numFmtId="0" fontId="72" fillId="0" borderId="0" xfId="4300" applyFont="1" applyFill="1" applyBorder="1" applyAlignment="1">
      <alignment vertical="center" wrapText="1"/>
    </xf>
    <xf numFmtId="43" fontId="72" fillId="0" borderId="33" xfId="4300" applyNumberFormat="1" applyFont="1" applyFill="1" applyBorder="1"/>
    <xf numFmtId="42" fontId="60" fillId="0" borderId="0" xfId="0" applyNumberFormat="1" applyFont="1" applyFill="1" applyBorder="1" applyAlignment="1">
      <alignment vertical="center"/>
    </xf>
    <xf numFmtId="0" fontId="72" fillId="0" borderId="0" xfId="12" applyFont="1" applyFill="1" applyBorder="1"/>
    <xf numFmtId="3" fontId="73" fillId="0" borderId="0" xfId="0" applyNumberFormat="1" applyFont="1" applyFill="1" applyAlignment="1">
      <alignment vertical="center"/>
    </xf>
    <xf numFmtId="0" fontId="70" fillId="3" borderId="3" xfId="12" applyFont="1" applyFill="1" applyBorder="1"/>
    <xf numFmtId="0" fontId="70" fillId="3" borderId="3" xfId="12" applyFont="1" applyFill="1" applyBorder="1" applyAlignment="1">
      <alignment horizontal="center"/>
    </xf>
    <xf numFmtId="167" fontId="70" fillId="3" borderId="3" xfId="50934" applyNumberFormat="1" applyFont="1" applyFill="1" applyBorder="1" applyAlignment="1">
      <alignment horizontal="center" wrapText="1"/>
    </xf>
    <xf numFmtId="167" fontId="70" fillId="3" borderId="3" xfId="50934" applyNumberFormat="1" applyFont="1" applyFill="1" applyBorder="1" applyAlignment="1">
      <alignment horizontal="center"/>
    </xf>
    <xf numFmtId="167" fontId="70" fillId="3" borderId="3" xfId="16" applyNumberFormat="1" applyFont="1" applyFill="1" applyBorder="1" applyAlignment="1">
      <alignment horizontal="center" wrapText="1"/>
    </xf>
    <xf numFmtId="0" fontId="82" fillId="0" borderId="0" xfId="50935" applyFont="1"/>
    <xf numFmtId="167" fontId="72" fillId="0" borderId="0" xfId="16" applyNumberFormat="1" applyFont="1" applyFill="1"/>
    <xf numFmtId="167" fontId="72" fillId="0" borderId="0" xfId="16" applyNumberFormat="1" applyFont="1" applyFill="1" applyBorder="1"/>
    <xf numFmtId="167" fontId="72" fillId="0" borderId="0" xfId="16" applyNumberFormat="1" applyFont="1" applyBorder="1"/>
    <xf numFmtId="164" fontId="70" fillId="0" borderId="0" xfId="12" applyNumberFormat="1" applyFont="1" applyFill="1"/>
    <xf numFmtId="43" fontId="72" fillId="0" borderId="0" xfId="12" applyNumberFormat="1" applyFont="1" applyFill="1"/>
    <xf numFmtId="0" fontId="70" fillId="0" borderId="0" xfId="12" applyFont="1"/>
    <xf numFmtId="167" fontId="72" fillId="0" borderId="0" xfId="50934" applyNumberFormat="1" applyFont="1" applyFill="1"/>
    <xf numFmtId="0" fontId="73" fillId="0" borderId="0" xfId="4300" applyFont="1"/>
    <xf numFmtId="167" fontId="82" fillId="0" borderId="0" xfId="50935" applyNumberFormat="1" applyFont="1"/>
    <xf numFmtId="0" fontId="73" fillId="0" borderId="0" xfId="50938" applyFont="1"/>
    <xf numFmtId="0" fontId="73" fillId="0" borderId="0" xfId="12" applyFont="1" applyFill="1"/>
    <xf numFmtId="167" fontId="72" fillId="0" borderId="0" xfId="50937" applyNumberFormat="1" applyFont="1" applyFill="1"/>
    <xf numFmtId="41" fontId="70" fillId="28" borderId="59" xfId="4300" applyNumberFormat="1" applyFont="1" applyFill="1" applyBorder="1"/>
    <xf numFmtId="165" fontId="72" fillId="0" borderId="33" xfId="1" applyNumberFormat="1" applyFont="1" applyFill="1" applyBorder="1"/>
    <xf numFmtId="42" fontId="72" fillId="0" borderId="0" xfId="4300" applyNumberFormat="1" applyFont="1"/>
    <xf numFmtId="42" fontId="72" fillId="0" borderId="0" xfId="1" applyNumberFormat="1" applyFont="1" applyFill="1" applyBorder="1" applyAlignment="1">
      <alignment horizontal="center"/>
    </xf>
    <xf numFmtId="42" fontId="70" fillId="0" borderId="3" xfId="1" applyNumberFormat="1" applyFont="1" applyFill="1" applyBorder="1" applyAlignment="1">
      <alignment horizontal="center"/>
    </xf>
    <xf numFmtId="42" fontId="70" fillId="0" borderId="0" xfId="1" applyNumberFormat="1" applyFont="1" applyFill="1" applyBorder="1" applyAlignment="1">
      <alignment horizontal="center"/>
    </xf>
    <xf numFmtId="42" fontId="70" fillId="0" borderId="39" xfId="1" applyNumberFormat="1" applyFont="1" applyFill="1" applyBorder="1" applyAlignment="1">
      <alignment horizontal="center"/>
    </xf>
    <xf numFmtId="0" fontId="73" fillId="0" borderId="0" xfId="0" applyFont="1" applyBorder="1"/>
    <xf numFmtId="0" fontId="70" fillId="0" borderId="11" xfId="0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167" fontId="82" fillId="0" borderId="0" xfId="16" applyNumberFormat="1" applyFont="1"/>
    <xf numFmtId="167" fontId="72" fillId="0" borderId="0" xfId="12" applyNumberFormat="1" applyFont="1" applyFill="1"/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3" borderId="3" xfId="0" applyFont="1" applyFill="1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6" xfId="0" applyFont="1" applyBorder="1"/>
    <xf numFmtId="0" fontId="72" fillId="0" borderId="2" xfId="0" applyFont="1" applyBorder="1"/>
    <xf numFmtId="0" fontId="72" fillId="0" borderId="6" xfId="0" applyFont="1" applyBorder="1" applyAlignment="1">
      <alignment shrinkToFit="1"/>
    </xf>
    <xf numFmtId="0" fontId="72" fillId="0" borderId="2" xfId="0" applyFont="1" applyBorder="1" applyAlignment="1">
      <alignment shrinkToFit="1"/>
    </xf>
    <xf numFmtId="165" fontId="72" fillId="0" borderId="6" xfId="13" applyNumberFormat="1" applyFont="1" applyBorder="1"/>
    <xf numFmtId="0" fontId="72" fillId="0" borderId="0" xfId="0" applyFont="1" applyBorder="1"/>
    <xf numFmtId="3" fontId="72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0" fillId="0" borderId="0" xfId="0" applyFont="1"/>
    <xf numFmtId="166" fontId="70" fillId="0" borderId="0" xfId="14" applyNumberFormat="1" applyFont="1" applyBorder="1"/>
    <xf numFmtId="0" fontId="0" fillId="0" borderId="0" xfId="0" applyFill="1"/>
    <xf numFmtId="41" fontId="71" fillId="0" borderId="0" xfId="4300" applyNumberFormat="1" applyFont="1" applyAlignment="1"/>
    <xf numFmtId="41" fontId="71" fillId="29" borderId="9" xfId="4300" applyNumberFormat="1" applyFont="1" applyFill="1" applyBorder="1" applyAlignment="1">
      <alignment horizontal="left"/>
    </xf>
    <xf numFmtId="41" fontId="71" fillId="29" borderId="8" xfId="4300" applyNumberFormat="1" applyFont="1" applyFill="1" applyBorder="1" applyAlignment="1">
      <alignment horizontal="left"/>
    </xf>
    <xf numFmtId="41" fontId="71" fillId="29" borderId="0" xfId="4300" quotePrefix="1" applyNumberFormat="1" applyFont="1" applyFill="1" applyBorder="1" applyAlignment="1"/>
    <xf numFmtId="41" fontId="71" fillId="29" borderId="2" xfId="4300" applyNumberFormat="1" applyFont="1" applyFill="1" applyBorder="1" applyAlignment="1">
      <alignment horizontal="left"/>
    </xf>
    <xf numFmtId="41" fontId="71" fillId="29" borderId="14" xfId="4300" applyNumberFormat="1" applyFont="1" applyFill="1" applyBorder="1" applyAlignment="1">
      <alignment horizontal="left"/>
    </xf>
    <xf numFmtId="41" fontId="71" fillId="0" borderId="0" xfId="50939" applyNumberFormat="1" applyFont="1" applyAlignment="1"/>
    <xf numFmtId="14" fontId="71" fillId="29" borderId="0" xfId="4300" quotePrefix="1" applyNumberFormat="1" applyFont="1" applyFill="1" applyBorder="1" applyAlignment="1"/>
    <xf numFmtId="41" fontId="71" fillId="0" borderId="0" xfId="4300" applyNumberFormat="1" applyFont="1"/>
    <xf numFmtId="41" fontId="71" fillId="29" borderId="0" xfId="4300" quotePrefix="1" applyNumberFormat="1" applyFont="1" applyFill="1" applyBorder="1"/>
    <xf numFmtId="41" fontId="70" fillId="0" borderId="63" xfId="4300" quotePrefix="1" applyNumberFormat="1" applyFont="1" applyBorder="1" applyAlignment="1">
      <alignment horizontal="center"/>
    </xf>
    <xf numFmtId="41" fontId="71" fillId="0" borderId="0" xfId="4300" quotePrefix="1" applyNumberFormat="1" applyFont="1" applyBorder="1"/>
    <xf numFmtId="41" fontId="71" fillId="0" borderId="0" xfId="4300" applyNumberFormat="1" applyFont="1" applyBorder="1"/>
    <xf numFmtId="41" fontId="18" fillId="0" borderId="0" xfId="4300" applyNumberFormat="1" applyAlignment="1"/>
    <xf numFmtId="41" fontId="18" fillId="29" borderId="9" xfId="4300" applyNumberFormat="1" applyFill="1" applyBorder="1" applyAlignment="1">
      <alignment horizontal="left"/>
    </xf>
    <xf numFmtId="41" fontId="18" fillId="29" borderId="8" xfId="4300" applyNumberFormat="1" applyFill="1" applyBorder="1" applyAlignment="1">
      <alignment horizontal="left"/>
    </xf>
    <xf numFmtId="41" fontId="18" fillId="29" borderId="0" xfId="4300" quotePrefix="1" applyNumberFormat="1" applyFill="1" applyBorder="1" applyAlignment="1"/>
    <xf numFmtId="41" fontId="18" fillId="29" borderId="2" xfId="4300" applyNumberFormat="1" applyFill="1" applyBorder="1" applyAlignment="1">
      <alignment horizontal="left"/>
    </xf>
    <xf numFmtId="41" fontId="18" fillId="29" borderId="14" xfId="4300" applyNumberFormat="1" applyFill="1" applyBorder="1" applyAlignment="1">
      <alignment horizontal="left"/>
    </xf>
    <xf numFmtId="41" fontId="71" fillId="0" borderId="0" xfId="50940" applyNumberFormat="1" applyFont="1" applyAlignment="1"/>
    <xf numFmtId="14" fontId="18" fillId="29" borderId="0" xfId="4300" quotePrefix="1" applyNumberFormat="1" applyFill="1" applyBorder="1" applyAlignment="1"/>
    <xf numFmtId="41" fontId="18" fillId="0" borderId="0" xfId="4300" applyNumberFormat="1"/>
    <xf numFmtId="41" fontId="70" fillId="0" borderId="0" xfId="4300" applyNumberFormat="1" applyFont="1"/>
    <xf numFmtId="43" fontId="0" fillId="0" borderId="0" xfId="1" applyFont="1"/>
    <xf numFmtId="41" fontId="25" fillId="0" borderId="0" xfId="4300" applyNumberFormat="1" applyFont="1"/>
    <xf numFmtId="0" fontId="71" fillId="0" borderId="0" xfId="4300" applyFont="1" applyAlignment="1"/>
    <xf numFmtId="43" fontId="71" fillId="0" borderId="0" xfId="1" applyFont="1" applyAlignment="1"/>
    <xf numFmtId="0" fontId="71" fillId="29" borderId="9" xfId="4300" applyFont="1" applyFill="1" applyBorder="1" applyAlignment="1">
      <alignment horizontal="left"/>
    </xf>
    <xf numFmtId="0" fontId="71" fillId="29" borderId="8" xfId="4300" applyFont="1" applyFill="1" applyBorder="1" applyAlignment="1">
      <alignment horizontal="left"/>
    </xf>
    <xf numFmtId="0" fontId="71" fillId="29" borderId="0" xfId="4300" quotePrefix="1" applyFont="1" applyFill="1" applyBorder="1" applyAlignment="1"/>
    <xf numFmtId="0" fontId="71" fillId="29" borderId="2" xfId="4300" applyFont="1" applyFill="1" applyBorder="1" applyAlignment="1">
      <alignment horizontal="left"/>
    </xf>
    <xf numFmtId="0" fontId="71" fillId="29" borderId="14" xfId="4300" applyFont="1" applyFill="1" applyBorder="1" applyAlignment="1">
      <alignment horizontal="left"/>
    </xf>
    <xf numFmtId="15" fontId="71" fillId="0" borderId="0" xfId="50940" applyNumberFormat="1" applyFont="1" applyAlignment="1"/>
    <xf numFmtId="41" fontId="71" fillId="0" borderId="0" xfId="16" applyNumberFormat="1" applyFont="1" applyAlignment="1"/>
    <xf numFmtId="0" fontId="71" fillId="0" borderId="0" xfId="50940" applyFont="1" applyAlignment="1"/>
    <xf numFmtId="41" fontId="71" fillId="0" borderId="0" xfId="16" applyNumberFormat="1" applyFont="1"/>
    <xf numFmtId="0" fontId="71" fillId="0" borderId="0" xfId="4300" applyFont="1"/>
    <xf numFmtId="43" fontId="71" fillId="0" borderId="0" xfId="1" applyFont="1"/>
    <xf numFmtId="169" fontId="71" fillId="0" borderId="0" xfId="4300" applyNumberFormat="1" applyFont="1"/>
    <xf numFmtId="169" fontId="71" fillId="29" borderId="2" xfId="4300" applyNumberFormat="1" applyFont="1" applyFill="1" applyBorder="1" applyAlignment="1">
      <alignment horizontal="left"/>
    </xf>
    <xf numFmtId="165" fontId="71" fillId="0" borderId="0" xfId="4300" applyNumberFormat="1" applyFont="1"/>
    <xf numFmtId="8" fontId="71" fillId="0" borderId="0" xfId="4300" applyNumberFormat="1" applyFont="1"/>
    <xf numFmtId="0" fontId="71" fillId="0" borderId="0" xfId="4300" applyFont="1" applyFill="1"/>
    <xf numFmtId="43" fontId="71" fillId="0" borderId="0" xfId="1" applyFont="1" applyFill="1"/>
    <xf numFmtId="0" fontId="18" fillId="0" borderId="0" xfId="4300" applyAlignment="1"/>
    <xf numFmtId="0" fontId="18" fillId="29" borderId="9" xfId="4300" applyFill="1" applyBorder="1" applyAlignment="1">
      <alignment horizontal="left"/>
    </xf>
    <xf numFmtId="0" fontId="18" fillId="29" borderId="8" xfId="4300" applyFill="1" applyBorder="1" applyAlignment="1">
      <alignment horizontal="left"/>
    </xf>
    <xf numFmtId="0" fontId="18" fillId="29" borderId="0" xfId="4300" quotePrefix="1" applyFill="1" applyBorder="1" applyAlignment="1"/>
    <xf numFmtId="0" fontId="18" fillId="29" borderId="2" xfId="4300" applyFill="1" applyBorder="1" applyAlignment="1">
      <alignment horizontal="left"/>
    </xf>
    <xf numFmtId="0" fontId="18" fillId="29" borderId="14" xfId="4300" applyFill="1" applyBorder="1" applyAlignment="1">
      <alignment horizontal="left"/>
    </xf>
    <xf numFmtId="14" fontId="18" fillId="29" borderId="0" xfId="4300" quotePrefix="1" applyNumberFormat="1" applyFont="1" applyFill="1" applyBorder="1" applyAlignment="1"/>
    <xf numFmtId="0" fontId="18" fillId="0" borderId="0" xfId="4300"/>
    <xf numFmtId="41" fontId="18" fillId="29" borderId="0" xfId="4300" quotePrefix="1" applyNumberFormat="1" applyFont="1" applyFill="1" applyBorder="1" applyAlignment="1"/>
    <xf numFmtId="169" fontId="18" fillId="0" borderId="0" xfId="4300" applyNumberFormat="1"/>
    <xf numFmtId="169" fontId="18" fillId="29" borderId="2" xfId="4300" applyNumberFormat="1" applyFill="1" applyBorder="1" applyAlignment="1">
      <alignment horizontal="left"/>
    </xf>
    <xf numFmtId="0" fontId="70" fillId="0" borderId="64" xfId="4300" applyFont="1" applyBorder="1" applyAlignment="1">
      <alignment horizontal="center"/>
    </xf>
    <xf numFmtId="0" fontId="72" fillId="0" borderId="64" xfId="4300" applyFont="1" applyFill="1" applyBorder="1" applyAlignment="1">
      <alignment vertical="center" wrapText="1"/>
    </xf>
    <xf numFmtId="41" fontId="72" fillId="0" borderId="65" xfId="4300" applyNumberFormat="1" applyFont="1" applyFill="1" applyBorder="1"/>
    <xf numFmtId="41" fontId="72" fillId="0" borderId="29" xfId="4300" applyNumberFormat="1" applyFont="1" applyFill="1" applyBorder="1"/>
    <xf numFmtId="41" fontId="72" fillId="0" borderId="66" xfId="4300" applyNumberFormat="1" applyFont="1" applyFill="1" applyBorder="1"/>
    <xf numFmtId="41" fontId="70" fillId="28" borderId="66" xfId="4300" applyNumberFormat="1" applyFont="1" applyFill="1" applyBorder="1"/>
    <xf numFmtId="41" fontId="70" fillId="28" borderId="49" xfId="4300" applyNumberFormat="1" applyFont="1" applyFill="1" applyBorder="1"/>
    <xf numFmtId="165" fontId="72" fillId="0" borderId="64" xfId="13" applyNumberFormat="1" applyFont="1" applyFill="1" applyBorder="1"/>
    <xf numFmtId="0" fontId="83" fillId="0" borderId="0" xfId="0" applyFont="1" applyFill="1" applyBorder="1" applyAlignment="1">
      <alignment horizontal="center"/>
    </xf>
    <xf numFmtId="0" fontId="70" fillId="30" borderId="3" xfId="0" applyFont="1" applyFill="1" applyBorder="1" applyAlignment="1">
      <alignment horizontal="center" wrapText="1"/>
    </xf>
    <xf numFmtId="0" fontId="72" fillId="0" borderId="6" xfId="0" applyFont="1" applyFill="1" applyBorder="1"/>
    <xf numFmtId="165" fontId="89" fillId="0" borderId="6" xfId="13" applyNumberFormat="1" applyFont="1" applyFill="1" applyBorder="1"/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/>
    <xf numFmtId="0" fontId="70" fillId="0" borderId="0" xfId="0" applyFont="1" applyFill="1" applyBorder="1"/>
    <xf numFmtId="165" fontId="71" fillId="0" borderId="6" xfId="13" applyNumberFormat="1" applyFont="1" applyFill="1" applyBorder="1"/>
    <xf numFmtId="0" fontId="72" fillId="0" borderId="64" xfId="0" applyFont="1" applyBorder="1" applyAlignment="1">
      <alignment shrinkToFit="1"/>
    </xf>
    <xf numFmtId="0" fontId="72" fillId="0" borderId="67" xfId="0" applyFont="1" applyBorder="1" applyAlignment="1">
      <alignment shrinkToFit="1"/>
    </xf>
    <xf numFmtId="165" fontId="72" fillId="0" borderId="64" xfId="13" applyNumberFormat="1" applyFont="1" applyBorder="1"/>
    <xf numFmtId="41" fontId="71" fillId="29" borderId="67" xfId="4300" applyNumberFormat="1" applyFont="1" applyFill="1" applyBorder="1" applyAlignment="1">
      <alignment horizontal="left"/>
    </xf>
    <xf numFmtId="41" fontId="71" fillId="0" borderId="68" xfId="4300" applyNumberFormat="1" applyFont="1" applyBorder="1"/>
    <xf numFmtId="41" fontId="18" fillId="29" borderId="67" xfId="4300" applyNumberFormat="1" applyFill="1" applyBorder="1" applyAlignment="1">
      <alignment horizontal="left"/>
    </xf>
    <xf numFmtId="41" fontId="18" fillId="0" borderId="68" xfId="4300" applyNumberFormat="1" applyBorder="1"/>
    <xf numFmtId="0" fontId="71" fillId="29" borderId="67" xfId="4300" applyFont="1" applyFill="1" applyBorder="1" applyAlignment="1">
      <alignment horizontal="left"/>
    </xf>
    <xf numFmtId="0" fontId="71" fillId="0" borderId="68" xfId="4300" applyFont="1" applyBorder="1"/>
    <xf numFmtId="0" fontId="18" fillId="29" borderId="67" xfId="4300" applyFill="1" applyBorder="1" applyAlignment="1">
      <alignment horizontal="left"/>
    </xf>
    <xf numFmtId="0" fontId="18" fillId="0" borderId="68" xfId="4300" applyBorder="1"/>
    <xf numFmtId="165" fontId="72" fillId="0" borderId="3" xfId="4300" applyNumberFormat="1" applyFont="1" applyFill="1" applyBorder="1"/>
    <xf numFmtId="41" fontId="70" fillId="0" borderId="69" xfId="4300" quotePrefix="1" applyNumberFormat="1" applyFont="1" applyBorder="1" applyAlignment="1">
      <alignment horizontal="center"/>
    </xf>
    <xf numFmtId="42" fontId="60" fillId="0" borderId="0" xfId="0" applyNumberFormat="1" applyFont="1" applyFill="1" applyAlignment="1">
      <alignment vertical="center"/>
    </xf>
    <xf numFmtId="17" fontId="70" fillId="0" borderId="0" xfId="0" applyNumberFormat="1" applyFont="1" applyBorder="1" applyAlignment="1">
      <alignment horizontal="center"/>
    </xf>
    <xf numFmtId="41" fontId="70" fillId="0" borderId="69" xfId="50939" quotePrefix="1" applyNumberFormat="1" applyFont="1" applyBorder="1" applyAlignment="1">
      <alignment horizontal="left"/>
    </xf>
    <xf numFmtId="41" fontId="70" fillId="0" borderId="69" xfId="50940" quotePrefix="1" applyNumberFormat="1" applyFont="1" applyBorder="1" applyAlignment="1">
      <alignment horizontal="left"/>
    </xf>
    <xf numFmtId="0" fontId="70" fillId="0" borderId="69" xfId="50940" quotePrefix="1" applyFont="1" applyBorder="1" applyAlignment="1">
      <alignment horizontal="left"/>
    </xf>
    <xf numFmtId="41" fontId="60" fillId="0" borderId="0" xfId="0" applyNumberFormat="1" applyFont="1"/>
    <xf numFmtId="0" fontId="60" fillId="0" borderId="0" xfId="0" applyFont="1" applyBorder="1"/>
    <xf numFmtId="41" fontId="70" fillId="0" borderId="0" xfId="50939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0" fontId="70" fillId="0" borderId="70" xfId="12" applyFont="1" applyFill="1" applyBorder="1" applyAlignment="1">
      <alignment horizontal="center"/>
    </xf>
    <xf numFmtId="0" fontId="70" fillId="0" borderId="70" xfId="12" applyFont="1" applyBorder="1" applyAlignment="1">
      <alignment horizontal="center"/>
    </xf>
    <xf numFmtId="167" fontId="70" fillId="0" borderId="70" xfId="16" applyNumberFormat="1" applyFont="1" applyFill="1" applyBorder="1" applyAlignment="1">
      <alignment horizontal="center"/>
    </xf>
    <xf numFmtId="167" fontId="86" fillId="0" borderId="70" xfId="14204" applyNumberFormat="1" applyFont="1" applyFill="1" applyBorder="1" applyAlignment="1">
      <alignment horizontal="center"/>
    </xf>
    <xf numFmtId="41" fontId="70" fillId="0" borderId="63" xfId="50939" quotePrefix="1" applyNumberFormat="1" applyFont="1" applyBorder="1" applyAlignment="1">
      <alignment horizontal="center"/>
    </xf>
    <xf numFmtId="41" fontId="70" fillId="0" borderId="63" xfId="50940" quotePrefix="1" applyNumberFormat="1" applyFont="1" applyBorder="1" applyAlignment="1">
      <alignment horizontal="center"/>
    </xf>
    <xf numFmtId="41" fontId="72" fillId="0" borderId="0" xfId="4300" quotePrefix="1" applyNumberFormat="1" applyFont="1" applyAlignment="1">
      <alignment horizontal="left"/>
    </xf>
    <xf numFmtId="41" fontId="70" fillId="0" borderId="71" xfId="50939" quotePrefix="1" applyNumberFormat="1" applyFont="1" applyBorder="1" applyAlignment="1">
      <alignment horizontal="left"/>
    </xf>
    <xf numFmtId="41" fontId="70" fillId="0" borderId="71" xfId="1" applyNumberFormat="1" applyFont="1" applyBorder="1" applyAlignment="1"/>
    <xf numFmtId="41" fontId="70" fillId="0" borderId="71" xfId="50940" quotePrefix="1" applyNumberFormat="1" applyFont="1" applyBorder="1" applyAlignment="1">
      <alignment horizontal="left"/>
    </xf>
    <xf numFmtId="41" fontId="70" fillId="0" borderId="71" xfId="50940" applyNumberFormat="1" applyFont="1" applyBorder="1" applyAlignment="1"/>
    <xf numFmtId="0" fontId="70" fillId="0" borderId="71" xfId="50940" quotePrefix="1" applyFont="1" applyBorder="1" applyAlignment="1">
      <alignment horizontal="left"/>
    </xf>
    <xf numFmtId="0" fontId="7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4300" applyFont="1" applyFill="1" applyBorder="1" applyAlignment="1">
      <alignment horizontal="center"/>
    </xf>
    <xf numFmtId="0" fontId="70" fillId="0" borderId="52" xfId="4300" applyFont="1" applyFill="1" applyBorder="1" applyAlignment="1">
      <alignment horizontal="center"/>
    </xf>
    <xf numFmtId="0" fontId="70" fillId="0" borderId="53" xfId="4300" applyFont="1" applyFill="1" applyBorder="1" applyAlignment="1">
      <alignment horizontal="center" vertical="center"/>
    </xf>
    <xf numFmtId="0" fontId="70" fillId="0" borderId="54" xfId="4300" applyFont="1" applyFill="1" applyBorder="1" applyAlignment="1">
      <alignment horizontal="center" vertical="center"/>
    </xf>
    <xf numFmtId="0" fontId="70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70" fillId="0" borderId="5" xfId="12" applyFont="1" applyBorder="1" applyAlignment="1">
      <alignment horizontal="center"/>
    </xf>
    <xf numFmtId="0" fontId="70" fillId="0" borderId="10" xfId="12" applyFont="1" applyBorder="1" applyAlignment="1">
      <alignment horizontal="center"/>
    </xf>
    <xf numFmtId="0" fontId="70" fillId="0" borderId="5" xfId="10" applyFont="1" applyFill="1" applyBorder="1" applyAlignment="1">
      <alignment horizontal="right" vertical="center"/>
    </xf>
    <xf numFmtId="0" fontId="70" fillId="0" borderId="10" xfId="10" applyFont="1" applyFill="1" applyBorder="1" applyAlignment="1">
      <alignment horizontal="right" vertical="center"/>
    </xf>
    <xf numFmtId="0" fontId="72" fillId="5" borderId="9" xfId="0" applyFont="1" applyFill="1" applyBorder="1" applyAlignment="1">
      <alignment horizontal="center"/>
    </xf>
    <xf numFmtId="0" fontId="72" fillId="5" borderId="11" xfId="0" applyFont="1" applyFill="1" applyBorder="1" applyAlignment="1">
      <alignment horizontal="center"/>
    </xf>
    <xf numFmtId="0" fontId="70" fillId="5" borderId="5" xfId="0" applyFont="1" applyFill="1" applyBorder="1" applyAlignment="1">
      <alignment horizontal="center"/>
    </xf>
    <xf numFmtId="0" fontId="70" fillId="5" borderId="13" xfId="0" applyFont="1" applyFill="1" applyBorder="1" applyAlignment="1">
      <alignment horizontal="center"/>
    </xf>
    <xf numFmtId="0" fontId="75" fillId="0" borderId="5" xfId="10" applyFont="1" applyFill="1" applyBorder="1" applyAlignment="1">
      <alignment horizontal="right" vertical="center"/>
    </xf>
    <xf numFmtId="0" fontId="75" fillId="0" borderId="10" xfId="10" applyFont="1" applyFill="1" applyBorder="1" applyAlignment="1">
      <alignment horizontal="right" vertical="center"/>
    </xf>
    <xf numFmtId="41" fontId="75" fillId="0" borderId="0" xfId="50939" applyNumberFormat="1" applyFont="1" applyAlignment="1">
      <alignment horizontal="center"/>
    </xf>
    <xf numFmtId="41" fontId="70" fillId="0" borderId="0" xfId="50939" applyNumberFormat="1" applyFont="1" applyAlignment="1">
      <alignment horizontal="center"/>
    </xf>
    <xf numFmtId="170" fontId="70" fillId="0" borderId="0" xfId="50939" quotePrefix="1" applyNumberFormat="1" applyFont="1" applyAlignment="1">
      <alignment horizontal="center"/>
    </xf>
    <xf numFmtId="41" fontId="75" fillId="0" borderId="0" xfId="50940" applyNumberFormat="1" applyFont="1" applyAlignment="1">
      <alignment horizontal="center"/>
    </xf>
    <xf numFmtId="41" fontId="88" fillId="0" borderId="0" xfId="4300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1" fillId="0" borderId="0" xfId="4300" applyNumberFormat="1" applyFont="1" applyAlignment="1">
      <alignment horizontal="center"/>
    </xf>
    <xf numFmtId="170" fontId="70" fillId="0" borderId="0" xfId="50940" quotePrefix="1" applyNumberFormat="1" applyFont="1" applyAlignment="1">
      <alignment horizontal="center"/>
    </xf>
    <xf numFmtId="170" fontId="71" fillId="0" borderId="0" xfId="4300" applyNumberFormat="1" applyFont="1" applyAlignment="1">
      <alignment horizontal="center"/>
    </xf>
    <xf numFmtId="0" fontId="75" fillId="0" borderId="0" xfId="50940" applyFont="1" applyAlignment="1">
      <alignment horizontal="center"/>
    </xf>
    <xf numFmtId="0" fontId="88" fillId="0" borderId="0" xfId="4300" applyFont="1" applyAlignment="1">
      <alignment horizontal="center"/>
    </xf>
    <xf numFmtId="0" fontId="70" fillId="0" borderId="0" xfId="50940" applyFont="1" applyAlignment="1">
      <alignment horizontal="center"/>
    </xf>
    <xf numFmtId="0" fontId="71" fillId="0" borderId="0" xfId="4300" applyFont="1" applyAlignment="1">
      <alignment horizontal="center"/>
    </xf>
    <xf numFmtId="0" fontId="75" fillId="0" borderId="0" xfId="3" applyFont="1" applyFill="1" applyBorder="1" applyAlignment="1">
      <alignment horizontal="left"/>
    </xf>
    <xf numFmtId="0" fontId="73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zoomScale="80" zoomScaleNormal="80" workbookViewId="0">
      <pane xSplit="3" ySplit="4" topLeftCell="D35" activePane="bottomRight" state="frozen"/>
      <selection activeCell="G20" sqref="G20"/>
      <selection pane="topRight" activeCell="G20" sqref="G20"/>
      <selection pane="bottomLeft" activeCell="G20" sqref="G20"/>
      <selection pane="bottomRight" activeCell="D51" sqref="D51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7" width="16.109375" style="81" customWidth="1"/>
    <col min="8" max="8" width="14.3320312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17.109375" style="80" bestFit="1" customWidth="1"/>
    <col min="13" max="13" width="16" style="68" customWidth="1"/>
    <col min="14" max="14" width="14.5546875" style="69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551" t="s">
        <v>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140"/>
    </row>
    <row r="2" spans="1:16" s="67" customFormat="1" ht="18" customHeight="1">
      <c r="A2" s="552" t="s">
        <v>232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141"/>
    </row>
    <row r="3" spans="1:16" s="67" customFormat="1" ht="18" customHeight="1">
      <c r="A3" s="553" t="s">
        <v>423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141"/>
    </row>
    <row r="4" spans="1:16" s="71" customFormat="1" ht="31.2">
      <c r="A4" s="142"/>
      <c r="B4" s="143"/>
      <c r="C4" s="144" t="s">
        <v>233</v>
      </c>
      <c r="D4" s="144" t="s">
        <v>169</v>
      </c>
      <c r="E4" s="99" t="s">
        <v>283</v>
      </c>
      <c r="F4" s="144" t="s">
        <v>251</v>
      </c>
      <c r="G4" s="144" t="s">
        <v>168</v>
      </c>
      <c r="H4" s="99" t="s">
        <v>33</v>
      </c>
      <c r="I4" s="144" t="s">
        <v>49</v>
      </c>
      <c r="J4" s="144" t="s">
        <v>50</v>
      </c>
      <c r="K4" s="145" t="s">
        <v>34</v>
      </c>
      <c r="L4" s="145" t="s">
        <v>35</v>
      </c>
      <c r="M4" s="141"/>
    </row>
    <row r="5" spans="1:16" s="63" customFormat="1" ht="18" customHeight="1">
      <c r="A5" s="146" t="s">
        <v>24</v>
      </c>
      <c r="B5" s="147" t="s">
        <v>7</v>
      </c>
      <c r="C5" s="148">
        <v>21297356</v>
      </c>
      <c r="D5" s="148">
        <f>E5+G5</f>
        <v>479455</v>
      </c>
      <c r="E5" s="148">
        <v>482014</v>
      </c>
      <c r="F5" s="417" t="s">
        <v>383</v>
      </c>
      <c r="G5" s="148">
        <v>-2559</v>
      </c>
      <c r="H5" s="150" t="s">
        <v>215</v>
      </c>
      <c r="I5" s="148">
        <v>21776811</v>
      </c>
      <c r="J5" s="148">
        <v>16090638.080000013</v>
      </c>
      <c r="K5" s="148">
        <v>22163861</v>
      </c>
      <c r="L5" s="148">
        <f>I5-K5</f>
        <v>-387050</v>
      </c>
      <c r="M5" s="151">
        <f>I5-C5-D5</f>
        <v>0</v>
      </c>
    </row>
    <row r="6" spans="1:16" s="72" customFormat="1" ht="7.5" customHeight="1">
      <c r="A6" s="146"/>
      <c r="B6" s="147"/>
      <c r="C6" s="148"/>
      <c r="D6" s="148"/>
      <c r="E6" s="148"/>
      <c r="F6" s="417"/>
      <c r="G6" s="150"/>
      <c r="H6" s="150"/>
      <c r="I6" s="148"/>
      <c r="J6" s="148"/>
      <c r="K6" s="148"/>
      <c r="L6" s="148"/>
      <c r="M6" s="151">
        <f t="shared" ref="M6:M36" si="0">I6-C6-D6</f>
        <v>0</v>
      </c>
    </row>
    <row r="7" spans="1:16" s="73" customFormat="1" ht="18" customHeight="1">
      <c r="A7" s="152" t="s">
        <v>351</v>
      </c>
      <c r="B7" s="153"/>
      <c r="C7" s="154">
        <f>C5</f>
        <v>21297356</v>
      </c>
      <c r="D7" s="154">
        <f>D5</f>
        <v>479455</v>
      </c>
      <c r="E7" s="154">
        <v>482014</v>
      </c>
      <c r="F7" s="418"/>
      <c r="G7" s="155">
        <f>G5</f>
        <v>-2559</v>
      </c>
      <c r="H7" s="155"/>
      <c r="I7" s="154">
        <f>I5</f>
        <v>21776811</v>
      </c>
      <c r="J7" s="154">
        <f>J5</f>
        <v>16090638.080000013</v>
      </c>
      <c r="K7" s="154">
        <f>K5</f>
        <v>22163861</v>
      </c>
      <c r="L7" s="154">
        <f>L5</f>
        <v>-387050</v>
      </c>
      <c r="M7" s="151">
        <f t="shared" si="0"/>
        <v>0</v>
      </c>
      <c r="N7" s="63"/>
      <c r="O7" s="63"/>
      <c r="P7" s="63"/>
    </row>
    <row r="8" spans="1:16" s="64" customFormat="1" ht="18" customHeight="1">
      <c r="A8" s="156" t="s">
        <v>25</v>
      </c>
      <c r="B8" s="147" t="s">
        <v>8</v>
      </c>
      <c r="C8" s="148">
        <v>548765797</v>
      </c>
      <c r="D8" s="148">
        <f>E8+G8</f>
        <v>131290932</v>
      </c>
      <c r="E8" s="148">
        <v>133948982</v>
      </c>
      <c r="F8" s="417" t="s">
        <v>389</v>
      </c>
      <c r="G8" s="148">
        <v>-2658050</v>
      </c>
      <c r="H8" s="150" t="s">
        <v>215</v>
      </c>
      <c r="I8" s="148">
        <v>680056729</v>
      </c>
      <c r="J8" s="148">
        <v>457783397.39998311</v>
      </c>
      <c r="K8" s="148">
        <v>669237728</v>
      </c>
      <c r="L8" s="148">
        <f t="shared" ref="L8:L19" si="1">I8-K8</f>
        <v>10819001</v>
      </c>
      <c r="M8" s="151">
        <f>I8-C8-D8</f>
        <v>0</v>
      </c>
      <c r="N8" s="63"/>
      <c r="O8" s="148"/>
      <c r="P8" s="63"/>
    </row>
    <row r="9" spans="1:16" s="64" customFormat="1" ht="18" customHeight="1">
      <c r="A9" s="156" t="s">
        <v>26</v>
      </c>
      <c r="B9" s="147" t="s">
        <v>9</v>
      </c>
      <c r="C9" s="148">
        <v>48154810</v>
      </c>
      <c r="D9" s="148">
        <f t="shared" ref="D9:D19" si="2">E9+G9</f>
        <v>1128510</v>
      </c>
      <c r="E9" s="148">
        <v>1245837</v>
      </c>
      <c r="F9" s="417" t="s">
        <v>390</v>
      </c>
      <c r="G9" s="148">
        <v>-117327</v>
      </c>
      <c r="H9" s="149" t="s">
        <v>424</v>
      </c>
      <c r="I9" s="148">
        <v>49283320</v>
      </c>
      <c r="J9" s="148">
        <v>29238460.340000048</v>
      </c>
      <c r="K9" s="148">
        <v>47190552</v>
      </c>
      <c r="L9" s="148">
        <f t="shared" si="1"/>
        <v>2092768</v>
      </c>
      <c r="M9" s="151">
        <f>I9-C9-D9</f>
        <v>0</v>
      </c>
      <c r="N9" s="63"/>
      <c r="O9" s="63"/>
      <c r="P9" s="63"/>
    </row>
    <row r="10" spans="1:16" s="64" customFormat="1" ht="18" customHeight="1">
      <c r="A10" s="156" t="s">
        <v>27</v>
      </c>
      <c r="B10" s="147" t="s">
        <v>189</v>
      </c>
      <c r="C10" s="148">
        <v>54852504</v>
      </c>
      <c r="D10" s="148">
        <f t="shared" si="2"/>
        <v>112120</v>
      </c>
      <c r="E10" s="148">
        <v>112120</v>
      </c>
      <c r="F10" s="417" t="s">
        <v>215</v>
      </c>
      <c r="G10" s="148">
        <v>0</v>
      </c>
      <c r="H10" s="149"/>
      <c r="I10" s="148">
        <v>54964624</v>
      </c>
      <c r="J10" s="148">
        <v>44539802.079999991</v>
      </c>
      <c r="K10" s="148">
        <v>71702047</v>
      </c>
      <c r="L10" s="148">
        <f t="shared" si="1"/>
        <v>-16737423</v>
      </c>
      <c r="M10" s="151">
        <f t="shared" si="0"/>
        <v>0</v>
      </c>
      <c r="N10" s="63"/>
      <c r="O10" s="63"/>
      <c r="P10" s="63"/>
    </row>
    <row r="11" spans="1:16" s="64" customFormat="1" ht="18" customHeight="1">
      <c r="A11" s="156" t="s">
        <v>28</v>
      </c>
      <c r="B11" s="147" t="s">
        <v>190</v>
      </c>
      <c r="C11" s="148">
        <v>10065312</v>
      </c>
      <c r="D11" s="148">
        <f t="shared" si="2"/>
        <v>0</v>
      </c>
      <c r="E11" s="148">
        <v>0</v>
      </c>
      <c r="F11" s="417"/>
      <c r="G11" s="148">
        <v>0</v>
      </c>
      <c r="H11" s="149"/>
      <c r="I11" s="148">
        <v>10065312</v>
      </c>
      <c r="J11" s="148">
        <v>6248646.7199999997</v>
      </c>
      <c r="K11" s="148">
        <v>12595719</v>
      </c>
      <c r="L11" s="148">
        <f t="shared" si="1"/>
        <v>-2530407</v>
      </c>
      <c r="M11" s="151">
        <f t="shared" si="0"/>
        <v>0</v>
      </c>
      <c r="N11" s="63"/>
      <c r="O11" s="63"/>
      <c r="P11" s="63"/>
    </row>
    <row r="12" spans="1:16" s="64" customFormat="1" ht="18" customHeight="1">
      <c r="A12" s="156" t="s">
        <v>29</v>
      </c>
      <c r="B12" s="147" t="s">
        <v>191</v>
      </c>
      <c r="C12" s="148">
        <v>3488221</v>
      </c>
      <c r="D12" s="148">
        <f t="shared" si="2"/>
        <v>0</v>
      </c>
      <c r="E12" s="148">
        <v>0</v>
      </c>
      <c r="F12" s="417"/>
      <c r="G12" s="148">
        <v>0</v>
      </c>
      <c r="H12" s="149"/>
      <c r="I12" s="148">
        <v>3488221</v>
      </c>
      <c r="J12" s="148">
        <v>2381488.58</v>
      </c>
      <c r="K12" s="148">
        <v>4315169</v>
      </c>
      <c r="L12" s="148">
        <f t="shared" si="1"/>
        <v>-826948</v>
      </c>
      <c r="M12" s="151">
        <f t="shared" si="0"/>
        <v>0</v>
      </c>
      <c r="N12" s="63"/>
      <c r="O12" s="63"/>
      <c r="P12" s="63"/>
    </row>
    <row r="13" spans="1:16" s="64" customFormat="1" ht="18" customHeight="1">
      <c r="A13" s="156" t="s">
        <v>114</v>
      </c>
      <c r="B13" s="147" t="s">
        <v>11</v>
      </c>
      <c r="C13" s="148">
        <v>9743396</v>
      </c>
      <c r="D13" s="148">
        <f t="shared" si="2"/>
        <v>624265</v>
      </c>
      <c r="E13" s="148">
        <v>780754</v>
      </c>
      <c r="F13" s="417" t="s">
        <v>216</v>
      </c>
      <c r="G13" s="148">
        <v>-156489</v>
      </c>
      <c r="H13" s="149" t="s">
        <v>216</v>
      </c>
      <c r="I13" s="148">
        <v>10367661</v>
      </c>
      <c r="J13" s="148">
        <v>4042129.9200000027</v>
      </c>
      <c r="K13" s="148">
        <v>8692474</v>
      </c>
      <c r="L13" s="148">
        <f t="shared" si="1"/>
        <v>1675187</v>
      </c>
      <c r="M13" s="151">
        <f t="shared" si="0"/>
        <v>0</v>
      </c>
      <c r="N13" s="63"/>
      <c r="O13" s="63"/>
      <c r="P13" s="63"/>
    </row>
    <row r="14" spans="1:16" s="64" customFormat="1" ht="18" customHeight="1">
      <c r="A14" s="156" t="s">
        <v>115</v>
      </c>
      <c r="B14" s="147" t="s">
        <v>192</v>
      </c>
      <c r="C14" s="148">
        <v>8616280</v>
      </c>
      <c r="D14" s="148">
        <f t="shared" si="2"/>
        <v>298449</v>
      </c>
      <c r="E14" s="148">
        <v>-47866</v>
      </c>
      <c r="F14" s="417" t="s">
        <v>425</v>
      </c>
      <c r="G14" s="148">
        <v>346315</v>
      </c>
      <c r="H14" s="149" t="s">
        <v>216</v>
      </c>
      <c r="I14" s="148">
        <v>8914729</v>
      </c>
      <c r="J14" s="148">
        <v>8245098.049999997</v>
      </c>
      <c r="K14" s="148">
        <v>14017527</v>
      </c>
      <c r="L14" s="148">
        <f t="shared" si="1"/>
        <v>-5102798</v>
      </c>
      <c r="M14" s="151">
        <f t="shared" si="0"/>
        <v>0</v>
      </c>
      <c r="N14" s="63"/>
      <c r="O14" s="63"/>
      <c r="P14" s="63"/>
    </row>
    <row r="15" spans="1:16" s="64" customFormat="1" ht="18" customHeight="1">
      <c r="A15" s="156" t="s">
        <v>116</v>
      </c>
      <c r="B15" s="147" t="s">
        <v>193</v>
      </c>
      <c r="C15" s="148">
        <v>46082699</v>
      </c>
      <c r="D15" s="148">
        <f t="shared" si="2"/>
        <v>-4131478</v>
      </c>
      <c r="E15" s="148">
        <v>-4131478</v>
      </c>
      <c r="F15" s="417" t="s">
        <v>216</v>
      </c>
      <c r="G15" s="148">
        <v>0</v>
      </c>
      <c r="H15" s="149"/>
      <c r="I15" s="148">
        <v>41951221</v>
      </c>
      <c r="J15" s="148">
        <v>25213418.550000027</v>
      </c>
      <c r="K15" s="148">
        <v>41951221</v>
      </c>
      <c r="L15" s="148">
        <f t="shared" si="1"/>
        <v>0</v>
      </c>
      <c r="M15" s="151">
        <f t="shared" si="0"/>
        <v>0</v>
      </c>
      <c r="N15" s="63"/>
      <c r="O15" s="63"/>
      <c r="P15" s="63"/>
    </row>
    <row r="16" spans="1:16" s="64" customFormat="1" ht="18" customHeight="1">
      <c r="A16" s="156" t="s">
        <v>117</v>
      </c>
      <c r="B16" s="147" t="s">
        <v>194</v>
      </c>
      <c r="C16" s="148">
        <v>421563615</v>
      </c>
      <c r="D16" s="148">
        <f t="shared" si="2"/>
        <v>-31554610</v>
      </c>
      <c r="E16" s="148">
        <v>-31554610</v>
      </c>
      <c r="F16" s="417" t="s">
        <v>380</v>
      </c>
      <c r="G16" s="148">
        <v>0</v>
      </c>
      <c r="H16" s="149"/>
      <c r="I16" s="148">
        <v>390009005</v>
      </c>
      <c r="J16" s="148">
        <v>261400905.56000015</v>
      </c>
      <c r="K16" s="148">
        <v>439732404</v>
      </c>
      <c r="L16" s="148">
        <f t="shared" si="1"/>
        <v>-49723399</v>
      </c>
      <c r="M16" s="151">
        <f t="shared" si="0"/>
        <v>0</v>
      </c>
      <c r="N16" s="63"/>
      <c r="O16" s="63"/>
      <c r="P16" s="63"/>
    </row>
    <row r="17" spans="1:16" s="64" customFormat="1" ht="18" customHeight="1">
      <c r="A17" s="156" t="s">
        <v>118</v>
      </c>
      <c r="B17" s="147" t="s">
        <v>195</v>
      </c>
      <c r="C17" s="148">
        <v>269243512</v>
      </c>
      <c r="D17" s="148">
        <f t="shared" si="2"/>
        <v>-2767732</v>
      </c>
      <c r="E17" s="148">
        <v>-2767732</v>
      </c>
      <c r="F17" s="417" t="s">
        <v>284</v>
      </c>
      <c r="G17" s="148">
        <v>0</v>
      </c>
      <c r="H17" s="149"/>
      <c r="I17" s="148">
        <v>266475780</v>
      </c>
      <c r="J17" s="148">
        <v>199032552.98000008</v>
      </c>
      <c r="K17" s="148">
        <v>267302611</v>
      </c>
      <c r="L17" s="148">
        <f t="shared" si="1"/>
        <v>-826831</v>
      </c>
      <c r="M17" s="151">
        <f t="shared" si="0"/>
        <v>0</v>
      </c>
      <c r="N17" s="63"/>
      <c r="O17" s="63"/>
      <c r="P17" s="63"/>
    </row>
    <row r="18" spans="1:16" s="64" customFormat="1" ht="18" customHeight="1">
      <c r="A18" s="156" t="s">
        <v>119</v>
      </c>
      <c r="B18" s="147" t="s">
        <v>196</v>
      </c>
      <c r="C18" s="148">
        <v>12371835</v>
      </c>
      <c r="D18" s="148">
        <f t="shared" si="2"/>
        <v>0</v>
      </c>
      <c r="E18" s="148">
        <v>0</v>
      </c>
      <c r="F18" s="417"/>
      <c r="G18" s="148">
        <v>0</v>
      </c>
      <c r="H18" s="149"/>
      <c r="I18" s="148">
        <v>12371835</v>
      </c>
      <c r="J18" s="148">
        <v>8501692.2299999986</v>
      </c>
      <c r="K18" s="148">
        <v>12704783</v>
      </c>
      <c r="L18" s="148">
        <f t="shared" si="1"/>
        <v>-332948</v>
      </c>
      <c r="M18" s="151">
        <f t="shared" si="0"/>
        <v>0</v>
      </c>
      <c r="N18" s="63"/>
      <c r="O18" s="63"/>
      <c r="P18" s="63"/>
    </row>
    <row r="19" spans="1:16" s="64" customFormat="1" ht="18" customHeight="1">
      <c r="A19" s="156" t="s">
        <v>120</v>
      </c>
      <c r="B19" s="157" t="s">
        <v>218</v>
      </c>
      <c r="C19" s="148">
        <v>0</v>
      </c>
      <c r="D19" s="148">
        <f t="shared" si="2"/>
        <v>0</v>
      </c>
      <c r="E19" s="148">
        <v>0</v>
      </c>
      <c r="F19" s="417"/>
      <c r="G19" s="148">
        <v>0</v>
      </c>
      <c r="H19" s="149"/>
      <c r="I19" s="148">
        <v>0</v>
      </c>
      <c r="J19" s="148">
        <v>0</v>
      </c>
      <c r="K19" s="148">
        <v>0</v>
      </c>
      <c r="L19" s="148">
        <f t="shared" si="1"/>
        <v>0</v>
      </c>
      <c r="M19" s="151">
        <f t="shared" si="0"/>
        <v>0</v>
      </c>
      <c r="N19" s="63"/>
      <c r="O19" s="63"/>
      <c r="P19" s="63"/>
    </row>
    <row r="20" spans="1:16" s="74" customFormat="1" ht="7.5" customHeight="1">
      <c r="A20" s="156"/>
      <c r="B20" s="157"/>
      <c r="C20" s="148"/>
      <c r="D20" s="148"/>
      <c r="E20" s="148"/>
      <c r="F20" s="417"/>
      <c r="G20" s="149"/>
      <c r="H20" s="149"/>
      <c r="I20" s="148"/>
      <c r="J20" s="148"/>
      <c r="K20" s="148"/>
      <c r="L20" s="148"/>
      <c r="M20" s="151">
        <f t="shared" si="0"/>
        <v>0</v>
      </c>
      <c r="N20" s="72"/>
      <c r="O20" s="72"/>
      <c r="P20" s="72"/>
    </row>
    <row r="21" spans="1:16" s="73" customFormat="1" ht="18" customHeight="1">
      <c r="A21" s="152" t="s">
        <v>352</v>
      </c>
      <c r="B21" s="153"/>
      <c r="C21" s="154">
        <f>SUM(C8:C19)</f>
        <v>1432947981</v>
      </c>
      <c r="D21" s="154">
        <f>SUM(D8:D19)</f>
        <v>95000456</v>
      </c>
      <c r="E21" s="154">
        <v>97586007</v>
      </c>
      <c r="F21" s="418"/>
      <c r="G21" s="155">
        <f>SUM(G8:G20)</f>
        <v>-2585551</v>
      </c>
      <c r="H21" s="155"/>
      <c r="I21" s="154">
        <f>SUM(I8:I19)</f>
        <v>1527948437</v>
      </c>
      <c r="J21" s="154">
        <f>SUM(J8:J19)</f>
        <v>1046627592.4099834</v>
      </c>
      <c r="K21" s="154">
        <f>SUM(K8:K19)</f>
        <v>1589442235</v>
      </c>
      <c r="L21" s="154">
        <f>SUM(L8:L19)</f>
        <v>-61493798</v>
      </c>
      <c r="M21" s="151">
        <f t="shared" si="0"/>
        <v>0</v>
      </c>
      <c r="O21" s="63"/>
      <c r="P21" s="63"/>
    </row>
    <row r="22" spans="1:16" s="64" customFormat="1" ht="18" customHeight="1">
      <c r="A22" s="156" t="s">
        <v>30</v>
      </c>
      <c r="B22" s="147" t="s">
        <v>14</v>
      </c>
      <c r="C22" s="148">
        <v>21001890</v>
      </c>
      <c r="D22" s="148">
        <f t="shared" ref="D22:D27" si="3">E22+G22</f>
        <v>0</v>
      </c>
      <c r="E22" s="148">
        <v>0</v>
      </c>
      <c r="F22" s="417"/>
      <c r="G22" s="148">
        <v>0</v>
      </c>
      <c r="H22" s="149"/>
      <c r="I22" s="148">
        <v>21001890</v>
      </c>
      <c r="J22" s="148">
        <v>13964265.729999997</v>
      </c>
      <c r="K22" s="148">
        <v>21001890</v>
      </c>
      <c r="L22" s="148">
        <f t="shared" ref="L22:L27" si="4">I22-K22</f>
        <v>0</v>
      </c>
      <c r="M22" s="151">
        <f t="shared" si="0"/>
        <v>0</v>
      </c>
      <c r="N22" s="63"/>
      <c r="O22" s="63"/>
      <c r="P22" s="63"/>
    </row>
    <row r="23" spans="1:16" s="64" customFormat="1" ht="18" customHeight="1">
      <c r="A23" s="156" t="s">
        <v>121</v>
      </c>
      <c r="B23" s="147" t="s">
        <v>15</v>
      </c>
      <c r="C23" s="148">
        <v>8422558</v>
      </c>
      <c r="D23" s="148">
        <f t="shared" si="3"/>
        <v>0</v>
      </c>
      <c r="E23" s="148">
        <v>0</v>
      </c>
      <c r="F23" s="417"/>
      <c r="G23" s="148">
        <v>0</v>
      </c>
      <c r="H23" s="149"/>
      <c r="I23" s="148">
        <v>8422558</v>
      </c>
      <c r="J23" s="148">
        <v>3631896.560000001</v>
      </c>
      <c r="K23" s="148">
        <v>8422558</v>
      </c>
      <c r="L23" s="148">
        <f t="shared" si="4"/>
        <v>0</v>
      </c>
      <c r="M23" s="151">
        <f t="shared" si="0"/>
        <v>0</v>
      </c>
      <c r="N23" s="63"/>
      <c r="O23" s="63"/>
      <c r="P23" s="63"/>
    </row>
    <row r="24" spans="1:16" s="64" customFormat="1" ht="18" customHeight="1">
      <c r="A24" s="156" t="s">
        <v>122</v>
      </c>
      <c r="B24" s="147" t="s">
        <v>16</v>
      </c>
      <c r="C24" s="148">
        <v>2610245</v>
      </c>
      <c r="D24" s="148">
        <f t="shared" si="3"/>
        <v>0</v>
      </c>
      <c r="E24" s="148">
        <v>0</v>
      </c>
      <c r="F24" s="417"/>
      <c r="G24" s="148">
        <v>0</v>
      </c>
      <c r="H24" s="149"/>
      <c r="I24" s="148">
        <v>2610245</v>
      </c>
      <c r="J24" s="148">
        <v>1630639.17</v>
      </c>
      <c r="K24" s="148">
        <v>2610245</v>
      </c>
      <c r="L24" s="148">
        <f t="shared" si="4"/>
        <v>0</v>
      </c>
      <c r="M24" s="151">
        <f t="shared" si="0"/>
        <v>0</v>
      </c>
      <c r="N24" s="63"/>
      <c r="O24" s="63"/>
      <c r="P24" s="63"/>
    </row>
    <row r="25" spans="1:16" s="64" customFormat="1" ht="18" customHeight="1">
      <c r="A25" s="156" t="s">
        <v>104</v>
      </c>
      <c r="B25" s="147" t="s">
        <v>17</v>
      </c>
      <c r="C25" s="148">
        <v>3155510</v>
      </c>
      <c r="D25" s="148">
        <f t="shared" si="3"/>
        <v>1091429</v>
      </c>
      <c r="E25" s="148">
        <v>1091429</v>
      </c>
      <c r="F25" s="417" t="s">
        <v>384</v>
      </c>
      <c r="G25" s="148">
        <v>0</v>
      </c>
      <c r="H25" s="149"/>
      <c r="I25" s="148">
        <v>4246939</v>
      </c>
      <c r="J25" s="148">
        <v>2454526.4000000013</v>
      </c>
      <c r="K25" s="148">
        <v>4246164</v>
      </c>
      <c r="L25" s="148">
        <f t="shared" si="4"/>
        <v>775</v>
      </c>
      <c r="M25" s="151">
        <f t="shared" si="0"/>
        <v>0</v>
      </c>
      <c r="N25" s="63"/>
      <c r="O25" s="63"/>
      <c r="P25" s="63"/>
    </row>
    <row r="26" spans="1:16" s="64" customFormat="1" ht="18" customHeight="1">
      <c r="A26" s="156" t="s">
        <v>105</v>
      </c>
      <c r="B26" s="147" t="s">
        <v>158</v>
      </c>
      <c r="C26" s="148">
        <v>26075221</v>
      </c>
      <c r="D26" s="148">
        <f t="shared" si="3"/>
        <v>31609782</v>
      </c>
      <c r="E26" s="148">
        <v>31609782</v>
      </c>
      <c r="F26" s="417" t="s">
        <v>414</v>
      </c>
      <c r="G26" s="148">
        <v>0</v>
      </c>
      <c r="H26" s="149"/>
      <c r="I26" s="148">
        <v>57685003</v>
      </c>
      <c r="J26" s="148">
        <v>28219134.059999999</v>
      </c>
      <c r="K26" s="148">
        <v>57077255</v>
      </c>
      <c r="L26" s="148">
        <f t="shared" si="4"/>
        <v>607748</v>
      </c>
      <c r="M26" s="151">
        <f t="shared" si="0"/>
        <v>0</v>
      </c>
      <c r="N26" s="63"/>
      <c r="O26" s="63"/>
      <c r="P26" s="63"/>
    </row>
    <row r="27" spans="1:16" s="64" customFormat="1" ht="18" customHeight="1">
      <c r="A27" s="156" t="s">
        <v>123</v>
      </c>
      <c r="B27" s="147" t="s">
        <v>159</v>
      </c>
      <c r="C27" s="148">
        <v>1887363</v>
      </c>
      <c r="D27" s="148">
        <f t="shared" si="3"/>
        <v>5268074</v>
      </c>
      <c r="E27" s="148">
        <v>5268074</v>
      </c>
      <c r="F27" s="417" t="s">
        <v>415</v>
      </c>
      <c r="G27" s="148">
        <v>0</v>
      </c>
      <c r="H27" s="149"/>
      <c r="I27" s="148">
        <v>7155437</v>
      </c>
      <c r="J27" s="148">
        <v>2666603.7800000012</v>
      </c>
      <c r="K27" s="148">
        <v>7647107</v>
      </c>
      <c r="L27" s="148">
        <f t="shared" si="4"/>
        <v>-491670</v>
      </c>
      <c r="M27" s="151">
        <f t="shared" si="0"/>
        <v>0</v>
      </c>
      <c r="N27" s="63"/>
      <c r="O27" s="63"/>
      <c r="P27" s="63"/>
    </row>
    <row r="28" spans="1:16" s="74" customFormat="1" ht="7.5" customHeight="1">
      <c r="A28" s="156"/>
      <c r="B28" s="147"/>
      <c r="C28" s="148"/>
      <c r="D28" s="148"/>
      <c r="E28" s="148"/>
      <c r="F28" s="417"/>
      <c r="G28" s="149"/>
      <c r="H28" s="149"/>
      <c r="I28" s="148"/>
      <c r="J28" s="148"/>
      <c r="K28" s="148"/>
      <c r="L28" s="148"/>
      <c r="M28" s="151">
        <f t="shared" si="0"/>
        <v>0</v>
      </c>
      <c r="N28" s="72"/>
      <c r="O28" s="72"/>
      <c r="P28" s="72"/>
    </row>
    <row r="29" spans="1:16" s="73" customFormat="1" ht="18" customHeight="1">
      <c r="A29" s="152" t="s">
        <v>353</v>
      </c>
      <c r="B29" s="153"/>
      <c r="C29" s="154">
        <f>SUM(C22:C27)</f>
        <v>63152787</v>
      </c>
      <c r="D29" s="154">
        <f>SUM(D22:D27)</f>
        <v>37969285</v>
      </c>
      <c r="E29" s="154">
        <v>37969285</v>
      </c>
      <c r="F29" s="418"/>
      <c r="G29" s="155">
        <f>SUM(G22:G28)</f>
        <v>0</v>
      </c>
      <c r="H29" s="155"/>
      <c r="I29" s="154">
        <f>SUM(I22:I27)</f>
        <v>101122072</v>
      </c>
      <c r="J29" s="154">
        <f>SUM(J22:J27)</f>
        <v>52567065.700000003</v>
      </c>
      <c r="K29" s="154">
        <f>SUM(K22:K27)</f>
        <v>101005219</v>
      </c>
      <c r="L29" s="154">
        <f>SUM(L22:L27)</f>
        <v>116853</v>
      </c>
      <c r="M29" s="151">
        <f t="shared" si="0"/>
        <v>0</v>
      </c>
      <c r="O29" s="63"/>
      <c r="P29" s="63"/>
    </row>
    <row r="30" spans="1:16" s="64" customFormat="1" ht="18" customHeight="1">
      <c r="A30" s="156" t="s">
        <v>106</v>
      </c>
      <c r="B30" s="147" t="s">
        <v>197</v>
      </c>
      <c r="C30" s="148">
        <v>57609430</v>
      </c>
      <c r="D30" s="148">
        <f t="shared" ref="D30:D32" si="5">E30+G30</f>
        <v>1292492</v>
      </c>
      <c r="E30" s="148">
        <v>1292164</v>
      </c>
      <c r="F30" s="417" t="s">
        <v>391</v>
      </c>
      <c r="G30" s="148">
        <v>328</v>
      </c>
      <c r="H30" s="149" t="s">
        <v>215</v>
      </c>
      <c r="I30" s="148">
        <v>58901922</v>
      </c>
      <c r="J30" s="148">
        <v>40542316.659999952</v>
      </c>
      <c r="K30" s="148">
        <v>57485053</v>
      </c>
      <c r="L30" s="148">
        <f>I30-K30</f>
        <v>1416869</v>
      </c>
      <c r="M30" s="151">
        <f t="shared" si="0"/>
        <v>0</v>
      </c>
      <c r="N30" s="63"/>
      <c r="O30" s="63"/>
      <c r="P30" s="63"/>
    </row>
    <row r="31" spans="1:16" s="64" customFormat="1" ht="18" customHeight="1">
      <c r="A31" s="156" t="s">
        <v>107</v>
      </c>
      <c r="B31" s="147" t="s">
        <v>124</v>
      </c>
      <c r="C31" s="148">
        <v>6238964</v>
      </c>
      <c r="D31" s="148">
        <f t="shared" si="5"/>
        <v>29654</v>
      </c>
      <c r="E31" s="148">
        <v>36527</v>
      </c>
      <c r="F31" s="417" t="s">
        <v>383</v>
      </c>
      <c r="G31" s="148">
        <v>-6873</v>
      </c>
      <c r="H31" s="149" t="s">
        <v>215</v>
      </c>
      <c r="I31" s="148">
        <v>6268618</v>
      </c>
      <c r="J31" s="148">
        <v>3839594.6900000004</v>
      </c>
      <c r="K31" s="148">
        <v>6009694</v>
      </c>
      <c r="L31" s="148">
        <f>I31-K31</f>
        <v>258924</v>
      </c>
      <c r="M31" s="151">
        <f t="shared" si="0"/>
        <v>0</v>
      </c>
      <c r="N31" s="63"/>
      <c r="O31" s="63"/>
      <c r="P31" s="63"/>
    </row>
    <row r="32" spans="1:16" s="64" customFormat="1" ht="18" customHeight="1">
      <c r="A32" s="156" t="s">
        <v>108</v>
      </c>
      <c r="B32" s="147" t="s">
        <v>198</v>
      </c>
      <c r="C32" s="148">
        <v>9399818</v>
      </c>
      <c r="D32" s="148">
        <f t="shared" si="5"/>
        <v>0</v>
      </c>
      <c r="E32" s="148">
        <v>0</v>
      </c>
      <c r="F32" s="417"/>
      <c r="G32" s="148">
        <v>0</v>
      </c>
      <c r="H32" s="149"/>
      <c r="I32" s="148">
        <v>9399818</v>
      </c>
      <c r="J32" s="148">
        <v>4608133.0099999988</v>
      </c>
      <c r="K32" s="148">
        <v>9044055</v>
      </c>
      <c r="L32" s="148">
        <f>I32-K32</f>
        <v>355763</v>
      </c>
      <c r="M32" s="151">
        <f t="shared" si="0"/>
        <v>0</v>
      </c>
      <c r="N32" s="63"/>
      <c r="O32" s="63"/>
      <c r="P32" s="63"/>
    </row>
    <row r="33" spans="1:16" s="74" customFormat="1" ht="7.5" customHeight="1">
      <c r="A33" s="156"/>
      <c r="B33" s="147"/>
      <c r="C33" s="148"/>
      <c r="D33" s="148"/>
      <c r="E33" s="148"/>
      <c r="F33" s="417"/>
      <c r="G33" s="149"/>
      <c r="H33" s="149"/>
      <c r="I33" s="148"/>
      <c r="J33" s="148"/>
      <c r="K33" s="148"/>
      <c r="L33" s="148"/>
      <c r="M33" s="151">
        <f t="shared" si="0"/>
        <v>0</v>
      </c>
      <c r="N33" s="72"/>
      <c r="O33" s="72"/>
      <c r="P33" s="72"/>
    </row>
    <row r="34" spans="1:16" s="64" customFormat="1" ht="18" customHeight="1">
      <c r="A34" s="158" t="s">
        <v>354</v>
      </c>
      <c r="B34" s="153"/>
      <c r="C34" s="154">
        <f>SUM(C30:C32)</f>
        <v>73248212</v>
      </c>
      <c r="D34" s="154">
        <f>SUM(D30:D32)</f>
        <v>1322146</v>
      </c>
      <c r="E34" s="154">
        <v>1328691</v>
      </c>
      <c r="F34" s="418"/>
      <c r="G34" s="155">
        <f>SUM(G30:G32)</f>
        <v>-6545</v>
      </c>
      <c r="H34" s="155"/>
      <c r="I34" s="154">
        <f>SUM(I30:I32)</f>
        <v>74570358</v>
      </c>
      <c r="J34" s="154">
        <f>SUM(J30:J32)</f>
        <v>48990044.359999947</v>
      </c>
      <c r="K34" s="154">
        <f>SUM(K30:K32)</f>
        <v>72538802</v>
      </c>
      <c r="L34" s="154">
        <f>SUM(L30:L32)</f>
        <v>2031556</v>
      </c>
      <c r="M34" s="151">
        <f t="shared" si="0"/>
        <v>0</v>
      </c>
      <c r="O34" s="63"/>
      <c r="P34" s="63"/>
    </row>
    <row r="35" spans="1:16" s="64" customFormat="1" ht="18" customHeight="1">
      <c r="A35" s="156" t="s">
        <v>109</v>
      </c>
      <c r="B35" s="159" t="s">
        <v>19</v>
      </c>
      <c r="C35" s="148">
        <v>45143834</v>
      </c>
      <c r="D35" s="148">
        <f t="shared" ref="D35" si="6">E35+G35</f>
        <v>2178725</v>
      </c>
      <c r="E35" s="148">
        <v>2215578</v>
      </c>
      <c r="F35" s="417" t="s">
        <v>385</v>
      </c>
      <c r="G35" s="148">
        <v>-36853</v>
      </c>
      <c r="H35" s="149" t="s">
        <v>215</v>
      </c>
      <c r="I35" s="148">
        <v>47322559</v>
      </c>
      <c r="J35" s="148">
        <v>30787565.200000178</v>
      </c>
      <c r="K35" s="148">
        <v>43532287</v>
      </c>
      <c r="L35" s="148">
        <f>I35-K35</f>
        <v>3790272</v>
      </c>
      <c r="M35" s="151">
        <f t="shared" si="0"/>
        <v>0</v>
      </c>
      <c r="N35" s="63"/>
      <c r="O35" s="63"/>
      <c r="P35" s="63"/>
    </row>
    <row r="36" spans="1:16" s="74" customFormat="1" ht="7.5" customHeight="1">
      <c r="A36" s="156"/>
      <c r="B36" s="159"/>
      <c r="C36" s="148"/>
      <c r="D36" s="148"/>
      <c r="E36" s="148"/>
      <c r="F36" s="417"/>
      <c r="G36" s="149"/>
      <c r="H36" s="149"/>
      <c r="I36" s="148"/>
      <c r="J36" s="148"/>
      <c r="K36" s="148"/>
      <c r="L36" s="148"/>
      <c r="M36" s="151">
        <f t="shared" si="0"/>
        <v>0</v>
      </c>
      <c r="N36" s="72"/>
      <c r="O36" s="72"/>
      <c r="P36" s="72"/>
    </row>
    <row r="37" spans="1:16" s="73" customFormat="1" ht="18" customHeight="1">
      <c r="A37" s="152" t="s">
        <v>355</v>
      </c>
      <c r="B37" s="153"/>
      <c r="C37" s="154">
        <f>C35</f>
        <v>45143834</v>
      </c>
      <c r="D37" s="154">
        <f>D35</f>
        <v>2178725</v>
      </c>
      <c r="E37" s="154">
        <v>2215578</v>
      </c>
      <c r="F37" s="418"/>
      <c r="G37" s="155"/>
      <c r="H37" s="155"/>
      <c r="I37" s="154">
        <f>I35</f>
        <v>47322559</v>
      </c>
      <c r="J37" s="154">
        <f>J35</f>
        <v>30787565.200000178</v>
      </c>
      <c r="K37" s="154">
        <f>K35</f>
        <v>43532287</v>
      </c>
      <c r="L37" s="154">
        <f>L35</f>
        <v>3790272</v>
      </c>
      <c r="M37" s="151">
        <f t="shared" ref="M37:M56" si="7">I37-C37-D37</f>
        <v>0</v>
      </c>
      <c r="O37" s="63"/>
      <c r="P37" s="63"/>
    </row>
    <row r="38" spans="1:16" s="64" customFormat="1" ht="18" customHeight="1">
      <c r="A38" s="156" t="s">
        <v>110</v>
      </c>
      <c r="B38" s="159" t="s">
        <v>20</v>
      </c>
      <c r="C38" s="148">
        <v>18516156</v>
      </c>
      <c r="D38" s="148">
        <f t="shared" ref="D38:D41" si="8">E38+G38</f>
        <v>1131066</v>
      </c>
      <c r="E38" s="148">
        <v>1031056</v>
      </c>
      <c r="F38" s="417" t="s">
        <v>391</v>
      </c>
      <c r="G38" s="148">
        <v>100010</v>
      </c>
      <c r="H38" s="149" t="s">
        <v>215</v>
      </c>
      <c r="I38" s="148">
        <v>19647222</v>
      </c>
      <c r="J38" s="148">
        <v>13057497.939999871</v>
      </c>
      <c r="K38" s="148">
        <v>18272695</v>
      </c>
      <c r="L38" s="148">
        <f>I38-K38</f>
        <v>1374527</v>
      </c>
      <c r="M38" s="151">
        <f t="shared" si="7"/>
        <v>0</v>
      </c>
      <c r="N38" s="63"/>
      <c r="O38" s="63"/>
      <c r="P38" s="63"/>
    </row>
    <row r="39" spans="1:16" s="64" customFormat="1" ht="18" customHeight="1">
      <c r="A39" s="156" t="s">
        <v>111</v>
      </c>
      <c r="B39" s="159" t="s">
        <v>21</v>
      </c>
      <c r="C39" s="148">
        <v>12464149</v>
      </c>
      <c r="D39" s="148">
        <f t="shared" si="8"/>
        <v>-1670633</v>
      </c>
      <c r="E39" s="148">
        <v>-1681085</v>
      </c>
      <c r="F39" s="417" t="s">
        <v>392</v>
      </c>
      <c r="G39" s="148">
        <v>10452</v>
      </c>
      <c r="H39" s="149" t="s">
        <v>215</v>
      </c>
      <c r="I39" s="148">
        <v>10793516</v>
      </c>
      <c r="J39" s="148">
        <v>7185811.4199998798</v>
      </c>
      <c r="K39" s="148">
        <v>10490864</v>
      </c>
      <c r="L39" s="148">
        <f>I39-K39</f>
        <v>302652</v>
      </c>
      <c r="M39" s="151">
        <f t="shared" si="7"/>
        <v>0</v>
      </c>
      <c r="N39" s="63"/>
      <c r="O39" s="63"/>
      <c r="P39" s="63"/>
    </row>
    <row r="40" spans="1:16" s="64" customFormat="1" ht="18" customHeight="1">
      <c r="A40" s="156" t="s">
        <v>112</v>
      </c>
      <c r="B40" s="159" t="s">
        <v>22</v>
      </c>
      <c r="C40" s="148">
        <v>992155</v>
      </c>
      <c r="D40" s="148">
        <f t="shared" si="8"/>
        <v>-264205</v>
      </c>
      <c r="E40" s="148">
        <v>-221634</v>
      </c>
      <c r="F40" s="417" t="s">
        <v>386</v>
      </c>
      <c r="G40" s="148">
        <v>-42571</v>
      </c>
      <c r="H40" s="149" t="s">
        <v>215</v>
      </c>
      <c r="I40" s="148">
        <v>727950</v>
      </c>
      <c r="J40" s="148">
        <v>229437.21999999997</v>
      </c>
      <c r="K40" s="148">
        <v>319565</v>
      </c>
      <c r="L40" s="148">
        <f>I40-K40</f>
        <v>408385</v>
      </c>
      <c r="M40" s="151">
        <f t="shared" si="7"/>
        <v>0</v>
      </c>
      <c r="N40" s="63"/>
      <c r="O40" s="63"/>
      <c r="P40" s="63"/>
    </row>
    <row r="41" spans="1:16" s="64" customFormat="1" ht="18" customHeight="1">
      <c r="A41" s="156" t="s">
        <v>113</v>
      </c>
      <c r="B41" s="159" t="s">
        <v>23</v>
      </c>
      <c r="C41" s="148">
        <v>35071483</v>
      </c>
      <c r="D41" s="148">
        <f t="shared" si="8"/>
        <v>5003877</v>
      </c>
      <c r="E41" s="148">
        <v>5166193</v>
      </c>
      <c r="F41" s="417" t="s">
        <v>393</v>
      </c>
      <c r="G41" s="148">
        <v>-162316</v>
      </c>
      <c r="H41" s="149" t="s">
        <v>215</v>
      </c>
      <c r="I41" s="148">
        <v>40075360</v>
      </c>
      <c r="J41" s="148">
        <v>18315177.089999873</v>
      </c>
      <c r="K41" s="148">
        <v>35476179</v>
      </c>
      <c r="L41" s="148">
        <f>I41-K41</f>
        <v>4599181</v>
      </c>
      <c r="M41" s="151">
        <f t="shared" si="7"/>
        <v>0</v>
      </c>
      <c r="N41" s="63"/>
      <c r="O41" s="63"/>
      <c r="P41" s="63"/>
    </row>
    <row r="42" spans="1:16" s="74" customFormat="1" ht="7.5" customHeight="1">
      <c r="A42" s="156"/>
      <c r="B42" s="159"/>
      <c r="C42" s="148"/>
      <c r="D42" s="148"/>
      <c r="E42" s="148"/>
      <c r="F42" s="417"/>
      <c r="G42" s="149"/>
      <c r="H42" s="149"/>
      <c r="I42" s="148"/>
      <c r="J42" s="148"/>
      <c r="K42" s="148"/>
      <c r="L42" s="148"/>
      <c r="M42" s="151">
        <f t="shared" si="7"/>
        <v>0</v>
      </c>
      <c r="N42" s="72"/>
      <c r="O42" s="72"/>
      <c r="P42" s="72"/>
    </row>
    <row r="43" spans="1:16" s="73" customFormat="1" ht="18" customHeight="1">
      <c r="A43" s="152" t="s">
        <v>356</v>
      </c>
      <c r="B43" s="153"/>
      <c r="C43" s="154">
        <f>SUM(C38:C41)</f>
        <v>67043943</v>
      </c>
      <c r="D43" s="154">
        <f>SUM(D38:D41)</f>
        <v>4200105</v>
      </c>
      <c r="E43" s="154">
        <v>4294530</v>
      </c>
      <c r="F43" s="418"/>
      <c r="G43" s="154">
        <f>SUM(G38:G41)</f>
        <v>-94425</v>
      </c>
      <c r="H43" s="155"/>
      <c r="I43" s="154">
        <f>SUM(I38:I41)</f>
        <v>71244048</v>
      </c>
      <c r="J43" s="154">
        <f>SUM(J38:J41)</f>
        <v>38787923.669999622</v>
      </c>
      <c r="K43" s="154">
        <f>SUM(K38:K41)</f>
        <v>64559303</v>
      </c>
      <c r="L43" s="154">
        <f>SUM(L38:L41)</f>
        <v>6684745</v>
      </c>
      <c r="M43" s="151">
        <f t="shared" si="7"/>
        <v>0</v>
      </c>
      <c r="O43" s="63"/>
      <c r="P43" s="63"/>
    </row>
    <row r="44" spans="1:16" s="73" customFormat="1" ht="18" customHeight="1">
      <c r="A44" s="160" t="s">
        <v>199</v>
      </c>
      <c r="B44" s="157" t="s">
        <v>125</v>
      </c>
      <c r="C44" s="148">
        <v>37715330</v>
      </c>
      <c r="D44" s="148">
        <f t="shared" ref="D44" si="9">E44+G44</f>
        <v>43997308</v>
      </c>
      <c r="E44" s="148">
        <v>44498773</v>
      </c>
      <c r="F44" s="417" t="s">
        <v>394</v>
      </c>
      <c r="G44" s="148">
        <v>-501465</v>
      </c>
      <c r="H44" s="149" t="s">
        <v>215</v>
      </c>
      <c r="I44" s="148">
        <v>81712638</v>
      </c>
      <c r="J44" s="148">
        <v>20646311.110000022</v>
      </c>
      <c r="K44" s="148">
        <v>53865818</v>
      </c>
      <c r="L44" s="148">
        <f>I44-K44</f>
        <v>27846820</v>
      </c>
      <c r="M44" s="151">
        <f t="shared" si="7"/>
        <v>0</v>
      </c>
      <c r="O44" s="63"/>
      <c r="P44" s="63"/>
    </row>
    <row r="45" spans="1:16" s="75" customFormat="1" ht="7.5" customHeight="1">
      <c r="A45" s="160"/>
      <c r="B45" s="157"/>
      <c r="C45" s="148"/>
      <c r="D45" s="148"/>
      <c r="E45" s="148"/>
      <c r="F45" s="417"/>
      <c r="G45" s="149"/>
      <c r="H45" s="149"/>
      <c r="I45" s="148"/>
      <c r="J45" s="148"/>
      <c r="K45" s="148"/>
      <c r="L45" s="148"/>
      <c r="M45" s="151">
        <f t="shared" si="7"/>
        <v>0</v>
      </c>
      <c r="O45" s="72"/>
      <c r="P45" s="72"/>
    </row>
    <row r="46" spans="1:16" s="73" customFormat="1" ht="18" customHeight="1">
      <c r="A46" s="152" t="s">
        <v>219</v>
      </c>
      <c r="B46" s="153"/>
      <c r="C46" s="154">
        <f>SUM(C44)</f>
        <v>37715330</v>
      </c>
      <c r="D46" s="154">
        <f>D44</f>
        <v>43997308</v>
      </c>
      <c r="E46" s="154">
        <v>44498773</v>
      </c>
      <c r="F46" s="418"/>
      <c r="G46" s="155">
        <f>SUM(G44:G45)</f>
        <v>-501465</v>
      </c>
      <c r="H46" s="155"/>
      <c r="I46" s="154">
        <f>I44</f>
        <v>81712638</v>
      </c>
      <c r="J46" s="154">
        <f>J44</f>
        <v>20646311.110000022</v>
      </c>
      <c r="K46" s="154">
        <f>K44</f>
        <v>53865818</v>
      </c>
      <c r="L46" s="154">
        <f>L44</f>
        <v>27846820</v>
      </c>
      <c r="M46" s="151">
        <f t="shared" si="7"/>
        <v>0</v>
      </c>
      <c r="N46" s="63"/>
      <c r="O46" s="63"/>
      <c r="P46" s="63"/>
    </row>
    <row r="47" spans="1:16" s="75" customFormat="1" ht="7.5" customHeight="1">
      <c r="A47" s="161"/>
      <c r="B47" s="162"/>
      <c r="C47" s="163"/>
      <c r="D47" s="163"/>
      <c r="E47" s="163"/>
      <c r="F47" s="419"/>
      <c r="G47" s="164"/>
      <c r="H47" s="164"/>
      <c r="I47" s="163"/>
      <c r="J47" s="163"/>
      <c r="K47" s="163"/>
      <c r="L47" s="163"/>
      <c r="M47" s="151">
        <f t="shared" si="7"/>
        <v>0</v>
      </c>
      <c r="N47" s="72"/>
      <c r="O47" s="72"/>
      <c r="P47" s="72"/>
    </row>
    <row r="48" spans="1:16" s="73" customFormat="1" ht="18" customHeight="1" thickBot="1">
      <c r="A48" s="165" t="s">
        <v>357</v>
      </c>
      <c r="B48" s="166"/>
      <c r="C48" s="167">
        <f>SUM(C43,C37,C34,C29,C21,C7,C46)</f>
        <v>1740549443</v>
      </c>
      <c r="D48" s="167">
        <f>SUM(D43,D37,D34,D29,D21,D7+D46)</f>
        <v>185147480</v>
      </c>
      <c r="E48" s="167">
        <v>188374878</v>
      </c>
      <c r="F48" s="420"/>
      <c r="G48" s="167">
        <f>SUM(G43,G37,G34,G29,G21,G7,G46)</f>
        <v>-3190545</v>
      </c>
      <c r="H48" s="168"/>
      <c r="I48" s="167">
        <f>SUM(I43,I37,I34,I29,I21,I7,I46)</f>
        <v>1925696923</v>
      </c>
      <c r="J48" s="167">
        <f>SUM(J43,J37,J34,J29,J21,J7,J46)</f>
        <v>1254497140.5299833</v>
      </c>
      <c r="K48" s="167">
        <f>SUM(K43,K37,K34,K29,K21,K7,K46)</f>
        <v>1947107525</v>
      </c>
      <c r="L48" s="167">
        <f>SUM(L43,L37,L34,L29,L21,L7,L46)</f>
        <v>-21410602</v>
      </c>
      <c r="M48" s="151">
        <f t="shared" si="7"/>
        <v>0</v>
      </c>
      <c r="N48" s="63"/>
      <c r="O48" s="63"/>
      <c r="P48" s="63"/>
    </row>
    <row r="49" spans="1:17" s="76" customFormat="1" ht="18" customHeight="1" thickTop="1">
      <c r="A49" s="169"/>
      <c r="B49" s="157"/>
      <c r="C49" s="148"/>
      <c r="D49" s="148"/>
      <c r="E49" s="148"/>
      <c r="F49" s="417"/>
      <c r="G49" s="148"/>
      <c r="H49" s="148"/>
      <c r="I49" s="148"/>
      <c r="J49" s="148"/>
      <c r="K49" s="148"/>
      <c r="L49" s="148"/>
      <c r="M49" s="151">
        <f t="shared" si="7"/>
        <v>0</v>
      </c>
      <c r="O49" s="77"/>
      <c r="P49" s="77"/>
      <c r="Q49" s="77"/>
    </row>
    <row r="50" spans="1:17" s="76" customFormat="1" ht="18" customHeight="1">
      <c r="A50" s="170" t="s">
        <v>51</v>
      </c>
      <c r="B50" s="157"/>
      <c r="C50" s="148"/>
      <c r="D50" s="148"/>
      <c r="E50" s="148"/>
      <c r="F50" s="417"/>
      <c r="G50" s="148"/>
      <c r="H50" s="148"/>
      <c r="I50" s="148"/>
      <c r="J50" s="148"/>
      <c r="K50" s="148"/>
      <c r="L50" s="148"/>
      <c r="M50" s="151">
        <f t="shared" si="7"/>
        <v>0</v>
      </c>
    </row>
    <row r="51" spans="1:17" s="76" customFormat="1" ht="18" customHeight="1">
      <c r="A51" s="160"/>
      <c r="B51" s="157" t="s">
        <v>4</v>
      </c>
      <c r="C51" s="148">
        <v>926369152</v>
      </c>
      <c r="D51" s="148">
        <f>I51-C51</f>
        <v>86204730</v>
      </c>
      <c r="E51" s="148">
        <v>86204730</v>
      </c>
      <c r="F51" s="417"/>
      <c r="G51" s="148">
        <v>0</v>
      </c>
      <c r="H51" s="149"/>
      <c r="I51" s="148">
        <v>1012573882</v>
      </c>
      <c r="J51" s="148">
        <v>716748431.72995853</v>
      </c>
      <c r="K51" s="148">
        <v>1040028588</v>
      </c>
      <c r="L51" s="148">
        <f>I51-K51</f>
        <v>-27454706</v>
      </c>
      <c r="M51" s="151">
        <f t="shared" si="7"/>
        <v>0</v>
      </c>
      <c r="N51" s="64"/>
      <c r="O51" s="393"/>
    </row>
    <row r="52" spans="1:17" s="76" customFormat="1" ht="18" customHeight="1">
      <c r="A52" s="160"/>
      <c r="B52" s="157" t="s">
        <v>5</v>
      </c>
      <c r="C52" s="148">
        <v>5685701</v>
      </c>
      <c r="D52" s="148">
        <f>I52-C52</f>
        <v>0</v>
      </c>
      <c r="E52" s="148">
        <v>0</v>
      </c>
      <c r="F52" s="417"/>
      <c r="G52" s="148">
        <v>0</v>
      </c>
      <c r="H52" s="149"/>
      <c r="I52" s="148">
        <v>5685701</v>
      </c>
      <c r="J52" s="148">
        <v>5685701</v>
      </c>
      <c r="K52" s="148">
        <v>5685701</v>
      </c>
      <c r="L52" s="148">
        <f>I52-K52</f>
        <v>0</v>
      </c>
      <c r="M52" s="151">
        <f t="shared" si="7"/>
        <v>0</v>
      </c>
      <c r="N52" s="64"/>
      <c r="O52" s="393"/>
    </row>
    <row r="53" spans="1:17" s="73" customFormat="1" ht="18" customHeight="1">
      <c r="A53" s="171"/>
      <c r="B53" s="172" t="s">
        <v>52</v>
      </c>
      <c r="C53" s="148">
        <f>SUM(C51:C52)</f>
        <v>932054853</v>
      </c>
      <c r="D53" s="148">
        <f>I53-C53</f>
        <v>86204730</v>
      </c>
      <c r="E53" s="148">
        <v>86204730</v>
      </c>
      <c r="F53" s="417"/>
      <c r="G53" s="148">
        <v>0</v>
      </c>
      <c r="H53" s="149"/>
      <c r="I53" s="148">
        <v>1018259583</v>
      </c>
      <c r="J53" s="148">
        <v>722434132.72995853</v>
      </c>
      <c r="K53" s="148">
        <v>1045714289</v>
      </c>
      <c r="L53" s="148">
        <f>I53-K53</f>
        <v>-27454706</v>
      </c>
      <c r="M53" s="151">
        <f t="shared" si="7"/>
        <v>0</v>
      </c>
      <c r="N53" s="64"/>
      <c r="O53" s="393"/>
    </row>
    <row r="54" spans="1:17" s="76" customFormat="1" ht="18" customHeight="1">
      <c r="A54" s="160"/>
      <c r="B54" s="157" t="s">
        <v>6</v>
      </c>
      <c r="C54" s="148">
        <v>798748603</v>
      </c>
      <c r="D54" s="148">
        <f>I54-C54</f>
        <v>100099165</v>
      </c>
      <c r="E54" s="148">
        <v>103404574</v>
      </c>
      <c r="F54" s="417"/>
      <c r="G54" s="148">
        <v>-3305409</v>
      </c>
      <c r="H54" s="149"/>
      <c r="I54" s="148">
        <v>898847768</v>
      </c>
      <c r="J54" s="148">
        <v>526441844.78998548</v>
      </c>
      <c r="K54" s="148">
        <v>892951881</v>
      </c>
      <c r="L54" s="148">
        <f>I54-K54</f>
        <v>5895887</v>
      </c>
      <c r="M54" s="151">
        <f t="shared" si="7"/>
        <v>0</v>
      </c>
      <c r="N54" s="64"/>
      <c r="O54" s="393"/>
    </row>
    <row r="55" spans="1:17" s="76" customFormat="1" ht="18" customHeight="1">
      <c r="A55" s="160"/>
      <c r="B55" s="157" t="s">
        <v>36</v>
      </c>
      <c r="C55" s="148">
        <v>9745987</v>
      </c>
      <c r="D55" s="148">
        <f>I55-C55</f>
        <v>-1156415</v>
      </c>
      <c r="E55" s="148">
        <v>-1234426</v>
      </c>
      <c r="F55" s="417"/>
      <c r="G55" s="148">
        <v>78011</v>
      </c>
      <c r="H55" s="148"/>
      <c r="I55" s="148">
        <v>8589572</v>
      </c>
      <c r="J55" s="148">
        <v>5621163.0100000091</v>
      </c>
      <c r="K55" s="148">
        <v>8441355</v>
      </c>
      <c r="L55" s="148">
        <f>I55-K55</f>
        <v>148217</v>
      </c>
      <c r="M55" s="151">
        <f t="shared" si="7"/>
        <v>0</v>
      </c>
      <c r="N55" s="64"/>
      <c r="O55" s="393"/>
    </row>
    <row r="56" spans="1:17" s="73" customFormat="1" ht="18" customHeight="1">
      <c r="A56" s="152" t="s">
        <v>37</v>
      </c>
      <c r="B56" s="173"/>
      <c r="C56" s="154">
        <f>SUM(C53:C55)</f>
        <v>1740549443</v>
      </c>
      <c r="D56" s="154">
        <f t="shared" ref="D56:L56" si="10">SUM(D53:D55)</f>
        <v>185147480</v>
      </c>
      <c r="E56" s="154">
        <v>188374878</v>
      </c>
      <c r="F56" s="418"/>
      <c r="G56" s="154">
        <f t="shared" si="10"/>
        <v>-3227398</v>
      </c>
      <c r="H56" s="154"/>
      <c r="I56" s="154">
        <f t="shared" si="10"/>
        <v>1925696923</v>
      </c>
      <c r="J56" s="154">
        <f t="shared" si="10"/>
        <v>1254497140.5299439</v>
      </c>
      <c r="K56" s="154">
        <f t="shared" si="10"/>
        <v>1947107525</v>
      </c>
      <c r="L56" s="154">
        <f t="shared" si="10"/>
        <v>-21410602</v>
      </c>
      <c r="M56" s="151">
        <f t="shared" si="7"/>
        <v>0</v>
      </c>
      <c r="N56" s="64"/>
    </row>
    <row r="57" spans="1:17" s="76" customFormat="1" ht="18" customHeight="1">
      <c r="A57" s="174"/>
      <c r="B57" s="174"/>
      <c r="C57" s="175"/>
      <c r="D57" s="175"/>
      <c r="E57" s="175"/>
      <c r="F57" s="176"/>
      <c r="G57" s="176"/>
      <c r="H57" s="176"/>
      <c r="I57" s="175"/>
      <c r="J57" s="175"/>
      <c r="K57" s="175"/>
      <c r="L57" s="175"/>
      <c r="M57" s="177"/>
    </row>
    <row r="58" spans="1:17" s="71" customFormat="1" ht="18" customHeight="1">
      <c r="A58" s="180" t="s">
        <v>216</v>
      </c>
      <c r="B58" s="181" t="s">
        <v>230</v>
      </c>
      <c r="C58" s="182"/>
      <c r="D58" s="182"/>
      <c r="E58" s="182"/>
      <c r="F58" s="183"/>
      <c r="G58" s="179"/>
      <c r="H58" s="179"/>
      <c r="I58" s="178"/>
      <c r="J58" s="178"/>
      <c r="K58" s="178"/>
      <c r="L58" s="178"/>
      <c r="M58" s="66"/>
    </row>
    <row r="59" spans="1:17" s="71" customFormat="1" ht="18" customHeight="1">
      <c r="A59" s="180" t="s">
        <v>273</v>
      </c>
      <c r="B59" s="181" t="s">
        <v>276</v>
      </c>
      <c r="C59" s="182"/>
      <c r="D59" s="182"/>
      <c r="E59" s="182"/>
      <c r="F59" s="183"/>
      <c r="G59" s="179"/>
      <c r="H59" s="179"/>
      <c r="I59" s="178"/>
      <c r="J59" s="178"/>
      <c r="K59" s="178"/>
      <c r="L59" s="178"/>
      <c r="M59" s="66"/>
    </row>
    <row r="60" spans="1:17" s="71" customFormat="1" ht="18" customHeight="1">
      <c r="A60" s="180" t="s">
        <v>267</v>
      </c>
      <c r="B60" s="181" t="s">
        <v>268</v>
      </c>
      <c r="C60" s="395" t="s">
        <v>387</v>
      </c>
      <c r="D60" s="182"/>
      <c r="E60" s="182"/>
      <c r="F60" s="183"/>
      <c r="G60" s="179"/>
      <c r="H60" s="179"/>
      <c r="I60" s="178"/>
      <c r="J60" s="178"/>
      <c r="K60" s="178"/>
      <c r="L60" s="178"/>
      <c r="M60" s="66"/>
    </row>
    <row r="61" spans="1:17" s="71" customFormat="1" ht="18" customHeight="1">
      <c r="A61" s="180" t="s">
        <v>269</v>
      </c>
      <c r="B61" s="181" t="s">
        <v>270</v>
      </c>
      <c r="C61" s="182"/>
      <c r="D61" s="182"/>
      <c r="E61" s="182"/>
      <c r="F61" s="183"/>
      <c r="G61" s="179"/>
      <c r="H61" s="179"/>
      <c r="I61" s="178"/>
      <c r="J61" s="178"/>
      <c r="K61" s="178"/>
      <c r="L61" s="178"/>
      <c r="M61" s="66"/>
    </row>
    <row r="62" spans="1:17" s="71" customFormat="1" ht="18" customHeight="1">
      <c r="A62" s="180" t="s">
        <v>215</v>
      </c>
      <c r="B62" s="181" t="s">
        <v>214</v>
      </c>
      <c r="C62" s="182"/>
      <c r="D62" s="182"/>
      <c r="E62" s="182"/>
      <c r="F62" s="183"/>
      <c r="G62" s="179"/>
      <c r="H62" s="179"/>
      <c r="I62" s="178"/>
      <c r="J62" s="178"/>
      <c r="K62" s="178"/>
      <c r="L62" s="178"/>
      <c r="M62" s="66"/>
    </row>
    <row r="63" spans="1:17" s="71" customFormat="1" ht="18" customHeight="1">
      <c r="A63" s="180" t="s">
        <v>271</v>
      </c>
      <c r="B63" s="181" t="s">
        <v>272</v>
      </c>
      <c r="C63" s="182"/>
      <c r="D63" s="182"/>
      <c r="E63" s="182"/>
      <c r="F63" s="183"/>
      <c r="G63" s="179"/>
      <c r="H63" s="179"/>
      <c r="I63" s="178"/>
      <c r="J63" s="178"/>
      <c r="K63" s="178"/>
      <c r="L63" s="178"/>
      <c r="M63" s="66"/>
    </row>
    <row r="64" spans="1:17" s="71" customFormat="1" ht="18" customHeight="1">
      <c r="A64" s="180" t="s">
        <v>185</v>
      </c>
      <c r="B64" s="181" t="s">
        <v>358</v>
      </c>
      <c r="C64" s="184"/>
      <c r="D64" s="184"/>
      <c r="E64" s="184"/>
      <c r="F64" s="184"/>
      <c r="G64" s="179"/>
      <c r="H64" s="179"/>
      <c r="I64" s="178"/>
      <c r="J64" s="178"/>
      <c r="K64" s="178"/>
      <c r="L64" s="178"/>
      <c r="M64" s="66"/>
    </row>
    <row r="65" spans="1:13" s="71" customFormat="1" ht="18" customHeight="1">
      <c r="A65" s="180" t="s">
        <v>274</v>
      </c>
      <c r="B65" s="181" t="s">
        <v>275</v>
      </c>
      <c r="C65" s="184"/>
      <c r="D65" s="184"/>
      <c r="E65" s="184"/>
      <c r="F65" s="184"/>
      <c r="G65" s="179"/>
      <c r="H65" s="179"/>
      <c r="I65" s="178"/>
      <c r="J65" s="178"/>
      <c r="K65" s="178"/>
      <c r="L65" s="178"/>
      <c r="M65" s="66"/>
    </row>
    <row r="66" spans="1:13" s="71" customFormat="1" ht="18" customHeight="1">
      <c r="A66" s="180" t="s">
        <v>381</v>
      </c>
      <c r="B66" s="181" t="s">
        <v>382</v>
      </c>
      <c r="C66" s="184"/>
      <c r="D66" s="184"/>
      <c r="E66" s="184"/>
      <c r="F66" s="184"/>
      <c r="G66" s="179"/>
      <c r="H66" s="179"/>
      <c r="I66" s="178"/>
      <c r="J66" s="178"/>
      <c r="K66" s="178"/>
      <c r="L66" s="178"/>
      <c r="M66" s="66"/>
    </row>
    <row r="67" spans="1:13" s="71" customFormat="1" ht="18" customHeight="1">
      <c r="A67" s="180" t="s">
        <v>286</v>
      </c>
      <c r="B67" s="181" t="s">
        <v>288</v>
      </c>
      <c r="C67" s="184"/>
      <c r="D67" s="184"/>
      <c r="E67" s="184"/>
      <c r="F67" s="184"/>
      <c r="G67" s="179"/>
      <c r="H67" s="179"/>
      <c r="I67" s="178"/>
      <c r="J67" s="178"/>
      <c r="K67" s="178"/>
      <c r="L67" s="178"/>
      <c r="M67" s="66"/>
    </row>
    <row r="68" spans="1:13" s="71" customFormat="1" ht="18" customHeight="1">
      <c r="A68" s="180" t="s">
        <v>277</v>
      </c>
      <c r="B68" s="181" t="s">
        <v>278</v>
      </c>
      <c r="C68" s="182"/>
      <c r="D68" s="182"/>
      <c r="E68" s="182"/>
      <c r="F68" s="183"/>
      <c r="G68" s="179"/>
      <c r="H68" s="179"/>
      <c r="I68" s="178"/>
      <c r="J68" s="178"/>
      <c r="K68" s="178"/>
      <c r="L68" s="178"/>
      <c r="M68" s="66"/>
    </row>
    <row r="69" spans="1:13" s="71" customFormat="1" ht="18" customHeight="1">
      <c r="A69" s="180" t="s">
        <v>348</v>
      </c>
      <c r="B69" s="181" t="s">
        <v>359</v>
      </c>
      <c r="C69" s="182"/>
      <c r="D69" s="182"/>
      <c r="E69" s="182"/>
      <c r="F69" s="183"/>
      <c r="G69" s="179"/>
      <c r="H69" s="179"/>
      <c r="I69" s="178"/>
      <c r="J69" s="178"/>
      <c r="K69" s="178"/>
      <c r="L69" s="178"/>
      <c r="M69" s="66"/>
    </row>
    <row r="70" spans="1:13" s="71" customFormat="1" ht="18" customHeight="1">
      <c r="A70" s="180" t="s">
        <v>378</v>
      </c>
      <c r="B70" s="181" t="s">
        <v>379</v>
      </c>
      <c r="C70" s="178"/>
      <c r="D70" s="178"/>
      <c r="E70" s="178"/>
      <c r="F70" s="179"/>
      <c r="G70" s="179"/>
      <c r="H70" s="179"/>
      <c r="I70" s="178"/>
      <c r="J70" s="178"/>
      <c r="K70" s="178"/>
      <c r="L70" s="178"/>
      <c r="M70" s="66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45"/>
  <sheetViews>
    <sheetView topLeftCell="A10" zoomScale="85" zoomScaleNormal="85" zoomScaleSheetLayoutView="85" workbookViewId="0">
      <selection activeCell="A29" sqref="A29"/>
    </sheetView>
  </sheetViews>
  <sheetFormatPr defaultRowHeight="13.2"/>
  <cols>
    <col min="1" max="1" width="63.88671875" style="482" bestFit="1" customWidth="1"/>
    <col min="2" max="2" width="11.44140625" style="454" hidden="1" customWidth="1"/>
    <col min="3" max="3" width="12" style="454" hidden="1" customWidth="1"/>
    <col min="4" max="5" width="12.21875" style="454" hidden="1" customWidth="1"/>
    <col min="6" max="7" width="12" style="454" hidden="1" customWidth="1"/>
    <col min="8" max="8" width="12.5546875" style="454" hidden="1" customWidth="1"/>
    <col min="9" max="9" width="12.21875" style="454" hidden="1" customWidth="1"/>
    <col min="10" max="10" width="12.6640625" style="454" customWidth="1"/>
    <col min="11" max="11" width="12.21875" style="454" hidden="1" customWidth="1"/>
    <col min="12" max="12" width="11.5546875" style="454" hidden="1" customWidth="1"/>
    <col min="13" max="13" width="12.5546875" style="454" hidden="1" customWidth="1"/>
    <col min="14" max="14" width="17.21875" style="454" bestFit="1" customWidth="1"/>
    <col min="15" max="15" width="22.21875" style="482" customWidth="1"/>
    <col min="16" max="16" width="22.21875" style="483" customWidth="1"/>
    <col min="17" max="17" width="17.21875" style="482" hidden="1" customWidth="1"/>
    <col min="18" max="18" width="15.109375" style="482" hidden="1" customWidth="1"/>
    <col min="19" max="19" width="10.44140625" style="482" hidden="1" customWidth="1"/>
    <col min="20" max="20" width="22.21875" style="482" customWidth="1"/>
    <col min="21" max="22" width="9.21875" style="482" customWidth="1"/>
    <col min="23" max="23" width="12.6640625" style="482" customWidth="1"/>
    <col min="24" max="24" width="10.44140625" style="482" customWidth="1"/>
    <col min="25" max="256" width="8.88671875" style="482"/>
    <col min="257" max="257" width="57.21875" style="482" bestFit="1" customWidth="1"/>
    <col min="258" max="258" width="10.6640625" style="482" bestFit="1" customWidth="1"/>
    <col min="259" max="269" width="0" style="482" hidden="1" customWidth="1"/>
    <col min="270" max="270" width="14.88671875" style="482" bestFit="1" customWidth="1"/>
    <col min="271" max="279" width="0" style="482" hidden="1" customWidth="1"/>
    <col min="280" max="280" width="10.44140625" style="482" customWidth="1"/>
    <col min="281" max="512" width="8.88671875" style="482"/>
    <col min="513" max="513" width="57.21875" style="482" bestFit="1" customWidth="1"/>
    <col min="514" max="514" width="10.6640625" style="482" bestFit="1" customWidth="1"/>
    <col min="515" max="525" width="0" style="482" hidden="1" customWidth="1"/>
    <col min="526" max="526" width="14.88671875" style="482" bestFit="1" customWidth="1"/>
    <col min="527" max="535" width="0" style="482" hidden="1" customWidth="1"/>
    <col min="536" max="536" width="10.44140625" style="482" customWidth="1"/>
    <col min="537" max="768" width="8.88671875" style="482"/>
    <col min="769" max="769" width="57.21875" style="482" bestFit="1" customWidth="1"/>
    <col min="770" max="770" width="10.6640625" style="482" bestFit="1" customWidth="1"/>
    <col min="771" max="781" width="0" style="482" hidden="1" customWidth="1"/>
    <col min="782" max="782" width="14.88671875" style="482" bestFit="1" customWidth="1"/>
    <col min="783" max="791" width="0" style="482" hidden="1" customWidth="1"/>
    <col min="792" max="792" width="10.44140625" style="482" customWidth="1"/>
    <col min="793" max="1024" width="8.88671875" style="482"/>
    <col min="1025" max="1025" width="57.21875" style="482" bestFit="1" customWidth="1"/>
    <col min="1026" max="1026" width="10.6640625" style="482" bestFit="1" customWidth="1"/>
    <col min="1027" max="1037" width="0" style="482" hidden="1" customWidth="1"/>
    <col min="1038" max="1038" width="14.88671875" style="482" bestFit="1" customWidth="1"/>
    <col min="1039" max="1047" width="0" style="482" hidden="1" customWidth="1"/>
    <col min="1048" max="1048" width="10.44140625" style="482" customWidth="1"/>
    <col min="1049" max="1280" width="8.88671875" style="482"/>
    <col min="1281" max="1281" width="57.21875" style="482" bestFit="1" customWidth="1"/>
    <col min="1282" max="1282" width="10.6640625" style="482" bestFit="1" customWidth="1"/>
    <col min="1283" max="1293" width="0" style="482" hidden="1" customWidth="1"/>
    <col min="1294" max="1294" width="14.88671875" style="482" bestFit="1" customWidth="1"/>
    <col min="1295" max="1303" width="0" style="482" hidden="1" customWidth="1"/>
    <col min="1304" max="1304" width="10.44140625" style="482" customWidth="1"/>
    <col min="1305" max="1536" width="8.88671875" style="482"/>
    <col min="1537" max="1537" width="57.21875" style="482" bestFit="1" customWidth="1"/>
    <col min="1538" max="1538" width="10.6640625" style="482" bestFit="1" customWidth="1"/>
    <col min="1539" max="1549" width="0" style="482" hidden="1" customWidth="1"/>
    <col min="1550" max="1550" width="14.88671875" style="482" bestFit="1" customWidth="1"/>
    <col min="1551" max="1559" width="0" style="482" hidden="1" customWidth="1"/>
    <col min="1560" max="1560" width="10.44140625" style="482" customWidth="1"/>
    <col min="1561" max="1792" width="8.88671875" style="482"/>
    <col min="1793" max="1793" width="57.21875" style="482" bestFit="1" customWidth="1"/>
    <col min="1794" max="1794" width="10.6640625" style="482" bestFit="1" customWidth="1"/>
    <col min="1795" max="1805" width="0" style="482" hidden="1" customWidth="1"/>
    <col min="1806" max="1806" width="14.88671875" style="482" bestFit="1" customWidth="1"/>
    <col min="1807" max="1815" width="0" style="482" hidden="1" customWidth="1"/>
    <col min="1816" max="1816" width="10.44140625" style="482" customWidth="1"/>
    <col min="1817" max="2048" width="8.88671875" style="482"/>
    <col min="2049" max="2049" width="57.21875" style="482" bestFit="1" customWidth="1"/>
    <col min="2050" max="2050" width="10.6640625" style="482" bestFit="1" customWidth="1"/>
    <col min="2051" max="2061" width="0" style="482" hidden="1" customWidth="1"/>
    <col min="2062" max="2062" width="14.88671875" style="482" bestFit="1" customWidth="1"/>
    <col min="2063" max="2071" width="0" style="482" hidden="1" customWidth="1"/>
    <col min="2072" max="2072" width="10.44140625" style="482" customWidth="1"/>
    <col min="2073" max="2304" width="8.88671875" style="482"/>
    <col min="2305" max="2305" width="57.21875" style="482" bestFit="1" customWidth="1"/>
    <col min="2306" max="2306" width="10.6640625" style="482" bestFit="1" customWidth="1"/>
    <col min="2307" max="2317" width="0" style="482" hidden="1" customWidth="1"/>
    <col min="2318" max="2318" width="14.88671875" style="482" bestFit="1" customWidth="1"/>
    <col min="2319" max="2327" width="0" style="482" hidden="1" customWidth="1"/>
    <col min="2328" max="2328" width="10.44140625" style="482" customWidth="1"/>
    <col min="2329" max="2560" width="8.88671875" style="482"/>
    <col min="2561" max="2561" width="57.21875" style="482" bestFit="1" customWidth="1"/>
    <col min="2562" max="2562" width="10.6640625" style="482" bestFit="1" customWidth="1"/>
    <col min="2563" max="2573" width="0" style="482" hidden="1" customWidth="1"/>
    <col min="2574" max="2574" width="14.88671875" style="482" bestFit="1" customWidth="1"/>
    <col min="2575" max="2583" width="0" style="482" hidden="1" customWidth="1"/>
    <col min="2584" max="2584" width="10.44140625" style="482" customWidth="1"/>
    <col min="2585" max="2816" width="8.88671875" style="482"/>
    <col min="2817" max="2817" width="57.21875" style="482" bestFit="1" customWidth="1"/>
    <col min="2818" max="2818" width="10.6640625" style="482" bestFit="1" customWidth="1"/>
    <col min="2819" max="2829" width="0" style="482" hidden="1" customWidth="1"/>
    <col min="2830" max="2830" width="14.88671875" style="482" bestFit="1" customWidth="1"/>
    <col min="2831" max="2839" width="0" style="482" hidden="1" customWidth="1"/>
    <col min="2840" max="2840" width="10.44140625" style="482" customWidth="1"/>
    <col min="2841" max="3072" width="8.88671875" style="482"/>
    <col min="3073" max="3073" width="57.21875" style="482" bestFit="1" customWidth="1"/>
    <col min="3074" max="3074" width="10.6640625" style="482" bestFit="1" customWidth="1"/>
    <col min="3075" max="3085" width="0" style="482" hidden="1" customWidth="1"/>
    <col min="3086" max="3086" width="14.88671875" style="482" bestFit="1" customWidth="1"/>
    <col min="3087" max="3095" width="0" style="482" hidden="1" customWidth="1"/>
    <col min="3096" max="3096" width="10.44140625" style="482" customWidth="1"/>
    <col min="3097" max="3328" width="8.88671875" style="482"/>
    <col min="3329" max="3329" width="57.21875" style="482" bestFit="1" customWidth="1"/>
    <col min="3330" max="3330" width="10.6640625" style="482" bestFit="1" customWidth="1"/>
    <col min="3331" max="3341" width="0" style="482" hidden="1" customWidth="1"/>
    <col min="3342" max="3342" width="14.88671875" style="482" bestFit="1" customWidth="1"/>
    <col min="3343" max="3351" width="0" style="482" hidden="1" customWidth="1"/>
    <col min="3352" max="3352" width="10.44140625" style="482" customWidth="1"/>
    <col min="3353" max="3584" width="8.88671875" style="482"/>
    <col min="3585" max="3585" width="57.21875" style="482" bestFit="1" customWidth="1"/>
    <col min="3586" max="3586" width="10.6640625" style="482" bestFit="1" customWidth="1"/>
    <col min="3587" max="3597" width="0" style="482" hidden="1" customWidth="1"/>
    <col min="3598" max="3598" width="14.88671875" style="482" bestFit="1" customWidth="1"/>
    <col min="3599" max="3607" width="0" style="482" hidden="1" customWidth="1"/>
    <col min="3608" max="3608" width="10.44140625" style="482" customWidth="1"/>
    <col min="3609" max="3840" width="8.88671875" style="482"/>
    <col min="3841" max="3841" width="57.21875" style="482" bestFit="1" customWidth="1"/>
    <col min="3842" max="3842" width="10.6640625" style="482" bestFit="1" customWidth="1"/>
    <col min="3843" max="3853" width="0" style="482" hidden="1" customWidth="1"/>
    <col min="3854" max="3854" width="14.88671875" style="482" bestFit="1" customWidth="1"/>
    <col min="3855" max="3863" width="0" style="482" hidden="1" customWidth="1"/>
    <col min="3864" max="3864" width="10.44140625" style="482" customWidth="1"/>
    <col min="3865" max="4096" width="8.88671875" style="482"/>
    <col min="4097" max="4097" width="57.21875" style="482" bestFit="1" customWidth="1"/>
    <col min="4098" max="4098" width="10.6640625" style="482" bestFit="1" customWidth="1"/>
    <col min="4099" max="4109" width="0" style="482" hidden="1" customWidth="1"/>
    <col min="4110" max="4110" width="14.88671875" style="482" bestFit="1" customWidth="1"/>
    <col min="4111" max="4119" width="0" style="482" hidden="1" customWidth="1"/>
    <col min="4120" max="4120" width="10.44140625" style="482" customWidth="1"/>
    <col min="4121" max="4352" width="8.88671875" style="482"/>
    <col min="4353" max="4353" width="57.21875" style="482" bestFit="1" customWidth="1"/>
    <col min="4354" max="4354" width="10.6640625" style="482" bestFit="1" customWidth="1"/>
    <col min="4355" max="4365" width="0" style="482" hidden="1" customWidth="1"/>
    <col min="4366" max="4366" width="14.88671875" style="482" bestFit="1" customWidth="1"/>
    <col min="4367" max="4375" width="0" style="482" hidden="1" customWidth="1"/>
    <col min="4376" max="4376" width="10.44140625" style="482" customWidth="1"/>
    <col min="4377" max="4608" width="8.88671875" style="482"/>
    <col min="4609" max="4609" width="57.21875" style="482" bestFit="1" customWidth="1"/>
    <col min="4610" max="4610" width="10.6640625" style="482" bestFit="1" customWidth="1"/>
    <col min="4611" max="4621" width="0" style="482" hidden="1" customWidth="1"/>
    <col min="4622" max="4622" width="14.88671875" style="482" bestFit="1" customWidth="1"/>
    <col min="4623" max="4631" width="0" style="482" hidden="1" customWidth="1"/>
    <col min="4632" max="4632" width="10.44140625" style="482" customWidth="1"/>
    <col min="4633" max="4864" width="8.88671875" style="482"/>
    <col min="4865" max="4865" width="57.21875" style="482" bestFit="1" customWidth="1"/>
    <col min="4866" max="4866" width="10.6640625" style="482" bestFit="1" customWidth="1"/>
    <col min="4867" max="4877" width="0" style="482" hidden="1" customWidth="1"/>
    <col min="4878" max="4878" width="14.88671875" style="482" bestFit="1" customWidth="1"/>
    <col min="4879" max="4887" width="0" style="482" hidden="1" customWidth="1"/>
    <col min="4888" max="4888" width="10.44140625" style="482" customWidth="1"/>
    <col min="4889" max="5120" width="8.88671875" style="482"/>
    <col min="5121" max="5121" width="57.21875" style="482" bestFit="1" customWidth="1"/>
    <col min="5122" max="5122" width="10.6640625" style="482" bestFit="1" customWidth="1"/>
    <col min="5123" max="5133" width="0" style="482" hidden="1" customWidth="1"/>
    <col min="5134" max="5134" width="14.88671875" style="482" bestFit="1" customWidth="1"/>
    <col min="5135" max="5143" width="0" style="482" hidden="1" customWidth="1"/>
    <col min="5144" max="5144" width="10.44140625" style="482" customWidth="1"/>
    <col min="5145" max="5376" width="8.88671875" style="482"/>
    <col min="5377" max="5377" width="57.21875" style="482" bestFit="1" customWidth="1"/>
    <col min="5378" max="5378" width="10.6640625" style="482" bestFit="1" customWidth="1"/>
    <col min="5379" max="5389" width="0" style="482" hidden="1" customWidth="1"/>
    <col min="5390" max="5390" width="14.88671875" style="482" bestFit="1" customWidth="1"/>
    <col min="5391" max="5399" width="0" style="482" hidden="1" customWidth="1"/>
    <col min="5400" max="5400" width="10.44140625" style="482" customWidth="1"/>
    <col min="5401" max="5632" width="8.88671875" style="482"/>
    <col min="5633" max="5633" width="57.21875" style="482" bestFit="1" customWidth="1"/>
    <col min="5634" max="5634" width="10.6640625" style="482" bestFit="1" customWidth="1"/>
    <col min="5635" max="5645" width="0" style="482" hidden="1" customWidth="1"/>
    <col min="5646" max="5646" width="14.88671875" style="482" bestFit="1" customWidth="1"/>
    <col min="5647" max="5655" width="0" style="482" hidden="1" customWidth="1"/>
    <col min="5656" max="5656" width="10.44140625" style="482" customWidth="1"/>
    <col min="5657" max="5888" width="8.88671875" style="482"/>
    <col min="5889" max="5889" width="57.21875" style="482" bestFit="1" customWidth="1"/>
    <col min="5890" max="5890" width="10.6640625" style="482" bestFit="1" customWidth="1"/>
    <col min="5891" max="5901" width="0" style="482" hidden="1" customWidth="1"/>
    <col min="5902" max="5902" width="14.88671875" style="482" bestFit="1" customWidth="1"/>
    <col min="5903" max="5911" width="0" style="482" hidden="1" customWidth="1"/>
    <col min="5912" max="5912" width="10.44140625" style="482" customWidth="1"/>
    <col min="5913" max="6144" width="8.88671875" style="482"/>
    <col min="6145" max="6145" width="57.21875" style="482" bestFit="1" customWidth="1"/>
    <col min="6146" max="6146" width="10.6640625" style="482" bestFit="1" customWidth="1"/>
    <col min="6147" max="6157" width="0" style="482" hidden="1" customWidth="1"/>
    <col min="6158" max="6158" width="14.88671875" style="482" bestFit="1" customWidth="1"/>
    <col min="6159" max="6167" width="0" style="482" hidden="1" customWidth="1"/>
    <col min="6168" max="6168" width="10.44140625" style="482" customWidth="1"/>
    <col min="6169" max="6400" width="8.88671875" style="482"/>
    <col min="6401" max="6401" width="57.21875" style="482" bestFit="1" customWidth="1"/>
    <col min="6402" max="6402" width="10.6640625" style="482" bestFit="1" customWidth="1"/>
    <col min="6403" max="6413" width="0" style="482" hidden="1" customWidth="1"/>
    <col min="6414" max="6414" width="14.88671875" style="482" bestFit="1" customWidth="1"/>
    <col min="6415" max="6423" width="0" style="482" hidden="1" customWidth="1"/>
    <col min="6424" max="6424" width="10.44140625" style="482" customWidth="1"/>
    <col min="6425" max="6656" width="8.88671875" style="482"/>
    <col min="6657" max="6657" width="57.21875" style="482" bestFit="1" customWidth="1"/>
    <col min="6658" max="6658" width="10.6640625" style="482" bestFit="1" customWidth="1"/>
    <col min="6659" max="6669" width="0" style="482" hidden="1" customWidth="1"/>
    <col min="6670" max="6670" width="14.88671875" style="482" bestFit="1" customWidth="1"/>
    <col min="6671" max="6679" width="0" style="482" hidden="1" customWidth="1"/>
    <col min="6680" max="6680" width="10.44140625" style="482" customWidth="1"/>
    <col min="6681" max="6912" width="8.88671875" style="482"/>
    <col min="6913" max="6913" width="57.21875" style="482" bestFit="1" customWidth="1"/>
    <col min="6914" max="6914" width="10.6640625" style="482" bestFit="1" customWidth="1"/>
    <col min="6915" max="6925" width="0" style="482" hidden="1" customWidth="1"/>
    <col min="6926" max="6926" width="14.88671875" style="482" bestFit="1" customWidth="1"/>
    <col min="6927" max="6935" width="0" style="482" hidden="1" customWidth="1"/>
    <col min="6936" max="6936" width="10.44140625" style="482" customWidth="1"/>
    <col min="6937" max="7168" width="8.88671875" style="482"/>
    <col min="7169" max="7169" width="57.21875" style="482" bestFit="1" customWidth="1"/>
    <col min="7170" max="7170" width="10.6640625" style="482" bestFit="1" customWidth="1"/>
    <col min="7171" max="7181" width="0" style="482" hidden="1" customWidth="1"/>
    <col min="7182" max="7182" width="14.88671875" style="482" bestFit="1" customWidth="1"/>
    <col min="7183" max="7191" width="0" style="482" hidden="1" customWidth="1"/>
    <col min="7192" max="7192" width="10.44140625" style="482" customWidth="1"/>
    <col min="7193" max="7424" width="8.88671875" style="482"/>
    <col min="7425" max="7425" width="57.21875" style="482" bestFit="1" customWidth="1"/>
    <col min="7426" max="7426" width="10.6640625" style="482" bestFit="1" customWidth="1"/>
    <col min="7427" max="7437" width="0" style="482" hidden="1" customWidth="1"/>
    <col min="7438" max="7438" width="14.88671875" style="482" bestFit="1" customWidth="1"/>
    <col min="7439" max="7447" width="0" style="482" hidden="1" customWidth="1"/>
    <col min="7448" max="7448" width="10.44140625" style="482" customWidth="1"/>
    <col min="7449" max="7680" width="8.88671875" style="482"/>
    <col min="7681" max="7681" width="57.21875" style="482" bestFit="1" customWidth="1"/>
    <col min="7682" max="7682" width="10.6640625" style="482" bestFit="1" customWidth="1"/>
    <col min="7683" max="7693" width="0" style="482" hidden="1" customWidth="1"/>
    <col min="7694" max="7694" width="14.88671875" style="482" bestFit="1" customWidth="1"/>
    <col min="7695" max="7703" width="0" style="482" hidden="1" customWidth="1"/>
    <col min="7704" max="7704" width="10.44140625" style="482" customWidth="1"/>
    <col min="7705" max="7936" width="8.88671875" style="482"/>
    <col min="7937" max="7937" width="57.21875" style="482" bestFit="1" customWidth="1"/>
    <col min="7938" max="7938" width="10.6640625" style="482" bestFit="1" customWidth="1"/>
    <col min="7939" max="7949" width="0" style="482" hidden="1" customWidth="1"/>
    <col min="7950" max="7950" width="14.88671875" style="482" bestFit="1" customWidth="1"/>
    <col min="7951" max="7959" width="0" style="482" hidden="1" customWidth="1"/>
    <col min="7960" max="7960" width="10.44140625" style="482" customWidth="1"/>
    <col min="7961" max="8192" width="8.88671875" style="482"/>
    <col min="8193" max="8193" width="57.21875" style="482" bestFit="1" customWidth="1"/>
    <col min="8194" max="8194" width="10.6640625" style="482" bestFit="1" customWidth="1"/>
    <col min="8195" max="8205" width="0" style="482" hidden="1" customWidth="1"/>
    <col min="8206" max="8206" width="14.88671875" style="482" bestFit="1" customWidth="1"/>
    <col min="8207" max="8215" width="0" style="482" hidden="1" customWidth="1"/>
    <col min="8216" max="8216" width="10.44140625" style="482" customWidth="1"/>
    <col min="8217" max="8448" width="8.88671875" style="482"/>
    <col min="8449" max="8449" width="57.21875" style="482" bestFit="1" customWidth="1"/>
    <col min="8450" max="8450" width="10.6640625" style="482" bestFit="1" customWidth="1"/>
    <col min="8451" max="8461" width="0" style="482" hidden="1" customWidth="1"/>
    <col min="8462" max="8462" width="14.88671875" style="482" bestFit="1" customWidth="1"/>
    <col min="8463" max="8471" width="0" style="482" hidden="1" customWidth="1"/>
    <col min="8472" max="8472" width="10.44140625" style="482" customWidth="1"/>
    <col min="8473" max="8704" width="8.88671875" style="482"/>
    <col min="8705" max="8705" width="57.21875" style="482" bestFit="1" customWidth="1"/>
    <col min="8706" max="8706" width="10.6640625" style="482" bestFit="1" customWidth="1"/>
    <col min="8707" max="8717" width="0" style="482" hidden="1" customWidth="1"/>
    <col min="8718" max="8718" width="14.88671875" style="482" bestFit="1" customWidth="1"/>
    <col min="8719" max="8727" width="0" style="482" hidden="1" customWidth="1"/>
    <col min="8728" max="8728" width="10.44140625" style="482" customWidth="1"/>
    <col min="8729" max="8960" width="8.88671875" style="482"/>
    <col min="8961" max="8961" width="57.21875" style="482" bestFit="1" customWidth="1"/>
    <col min="8962" max="8962" width="10.6640625" style="482" bestFit="1" customWidth="1"/>
    <col min="8963" max="8973" width="0" style="482" hidden="1" customWidth="1"/>
    <col min="8974" max="8974" width="14.88671875" style="482" bestFit="1" customWidth="1"/>
    <col min="8975" max="8983" width="0" style="482" hidden="1" customWidth="1"/>
    <col min="8984" max="8984" width="10.44140625" style="482" customWidth="1"/>
    <col min="8985" max="9216" width="8.88671875" style="482"/>
    <col min="9217" max="9217" width="57.21875" style="482" bestFit="1" customWidth="1"/>
    <col min="9218" max="9218" width="10.6640625" style="482" bestFit="1" customWidth="1"/>
    <col min="9219" max="9229" width="0" style="482" hidden="1" customWidth="1"/>
    <col min="9230" max="9230" width="14.88671875" style="482" bestFit="1" customWidth="1"/>
    <col min="9231" max="9239" width="0" style="482" hidden="1" customWidth="1"/>
    <col min="9240" max="9240" width="10.44140625" style="482" customWidth="1"/>
    <col min="9241" max="9472" width="8.88671875" style="482"/>
    <col min="9473" max="9473" width="57.21875" style="482" bestFit="1" customWidth="1"/>
    <col min="9474" max="9474" width="10.6640625" style="482" bestFit="1" customWidth="1"/>
    <col min="9475" max="9485" width="0" style="482" hidden="1" customWidth="1"/>
    <col min="9486" max="9486" width="14.88671875" style="482" bestFit="1" customWidth="1"/>
    <col min="9487" max="9495" width="0" style="482" hidden="1" customWidth="1"/>
    <col min="9496" max="9496" width="10.44140625" style="482" customWidth="1"/>
    <col min="9497" max="9728" width="8.88671875" style="482"/>
    <col min="9729" max="9729" width="57.21875" style="482" bestFit="1" customWidth="1"/>
    <col min="9730" max="9730" width="10.6640625" style="482" bestFit="1" customWidth="1"/>
    <col min="9731" max="9741" width="0" style="482" hidden="1" customWidth="1"/>
    <col min="9742" max="9742" width="14.88671875" style="482" bestFit="1" customWidth="1"/>
    <col min="9743" max="9751" width="0" style="482" hidden="1" customWidth="1"/>
    <col min="9752" max="9752" width="10.44140625" style="482" customWidth="1"/>
    <col min="9753" max="9984" width="8.88671875" style="482"/>
    <col min="9985" max="9985" width="57.21875" style="482" bestFit="1" customWidth="1"/>
    <col min="9986" max="9986" width="10.6640625" style="482" bestFit="1" customWidth="1"/>
    <col min="9987" max="9997" width="0" style="482" hidden="1" customWidth="1"/>
    <col min="9998" max="9998" width="14.88671875" style="482" bestFit="1" customWidth="1"/>
    <col min="9999" max="10007" width="0" style="482" hidden="1" customWidth="1"/>
    <col min="10008" max="10008" width="10.44140625" style="482" customWidth="1"/>
    <col min="10009" max="10240" width="8.88671875" style="482"/>
    <col min="10241" max="10241" width="57.21875" style="482" bestFit="1" customWidth="1"/>
    <col min="10242" max="10242" width="10.6640625" style="482" bestFit="1" customWidth="1"/>
    <col min="10243" max="10253" width="0" style="482" hidden="1" customWidth="1"/>
    <col min="10254" max="10254" width="14.88671875" style="482" bestFit="1" customWidth="1"/>
    <col min="10255" max="10263" width="0" style="482" hidden="1" customWidth="1"/>
    <col min="10264" max="10264" width="10.44140625" style="482" customWidth="1"/>
    <col min="10265" max="10496" width="8.88671875" style="482"/>
    <col min="10497" max="10497" width="57.21875" style="482" bestFit="1" customWidth="1"/>
    <col min="10498" max="10498" width="10.6640625" style="482" bestFit="1" customWidth="1"/>
    <col min="10499" max="10509" width="0" style="482" hidden="1" customWidth="1"/>
    <col min="10510" max="10510" width="14.88671875" style="482" bestFit="1" customWidth="1"/>
    <col min="10511" max="10519" width="0" style="482" hidden="1" customWidth="1"/>
    <col min="10520" max="10520" width="10.44140625" style="482" customWidth="1"/>
    <col min="10521" max="10752" width="8.88671875" style="482"/>
    <col min="10753" max="10753" width="57.21875" style="482" bestFit="1" customWidth="1"/>
    <col min="10754" max="10754" width="10.6640625" style="482" bestFit="1" customWidth="1"/>
    <col min="10755" max="10765" width="0" style="482" hidden="1" customWidth="1"/>
    <col min="10766" max="10766" width="14.88671875" style="482" bestFit="1" customWidth="1"/>
    <col min="10767" max="10775" width="0" style="482" hidden="1" customWidth="1"/>
    <col min="10776" max="10776" width="10.44140625" style="482" customWidth="1"/>
    <col min="10777" max="11008" width="8.88671875" style="482"/>
    <col min="11009" max="11009" width="57.21875" style="482" bestFit="1" customWidth="1"/>
    <col min="11010" max="11010" width="10.6640625" style="482" bestFit="1" customWidth="1"/>
    <col min="11011" max="11021" width="0" style="482" hidden="1" customWidth="1"/>
    <col min="11022" max="11022" width="14.88671875" style="482" bestFit="1" customWidth="1"/>
    <col min="11023" max="11031" width="0" style="482" hidden="1" customWidth="1"/>
    <col min="11032" max="11032" width="10.44140625" style="482" customWidth="1"/>
    <col min="11033" max="11264" width="8.88671875" style="482"/>
    <col min="11265" max="11265" width="57.21875" style="482" bestFit="1" customWidth="1"/>
    <col min="11266" max="11266" width="10.6640625" style="482" bestFit="1" customWidth="1"/>
    <col min="11267" max="11277" width="0" style="482" hidden="1" customWidth="1"/>
    <col min="11278" max="11278" width="14.88671875" style="482" bestFit="1" customWidth="1"/>
    <col min="11279" max="11287" width="0" style="482" hidden="1" customWidth="1"/>
    <col min="11288" max="11288" width="10.44140625" style="482" customWidth="1"/>
    <col min="11289" max="11520" width="8.88671875" style="482"/>
    <col min="11521" max="11521" width="57.21875" style="482" bestFit="1" customWidth="1"/>
    <col min="11522" max="11522" width="10.6640625" style="482" bestFit="1" customWidth="1"/>
    <col min="11523" max="11533" width="0" style="482" hidden="1" customWidth="1"/>
    <col min="11534" max="11534" width="14.88671875" style="482" bestFit="1" customWidth="1"/>
    <col min="11535" max="11543" width="0" style="482" hidden="1" customWidth="1"/>
    <col min="11544" max="11544" width="10.44140625" style="482" customWidth="1"/>
    <col min="11545" max="11776" width="8.88671875" style="482"/>
    <col min="11777" max="11777" width="57.21875" style="482" bestFit="1" customWidth="1"/>
    <col min="11778" max="11778" width="10.6640625" style="482" bestFit="1" customWidth="1"/>
    <col min="11779" max="11789" width="0" style="482" hidden="1" customWidth="1"/>
    <col min="11790" max="11790" width="14.88671875" style="482" bestFit="1" customWidth="1"/>
    <col min="11791" max="11799" width="0" style="482" hidden="1" customWidth="1"/>
    <col min="11800" max="11800" width="10.44140625" style="482" customWidth="1"/>
    <col min="11801" max="12032" width="8.88671875" style="482"/>
    <col min="12033" max="12033" width="57.21875" style="482" bestFit="1" customWidth="1"/>
    <col min="12034" max="12034" width="10.6640625" style="482" bestFit="1" customWidth="1"/>
    <col min="12035" max="12045" width="0" style="482" hidden="1" customWidth="1"/>
    <col min="12046" max="12046" width="14.88671875" style="482" bestFit="1" customWidth="1"/>
    <col min="12047" max="12055" width="0" style="482" hidden="1" customWidth="1"/>
    <col min="12056" max="12056" width="10.44140625" style="482" customWidth="1"/>
    <col min="12057" max="12288" width="8.88671875" style="482"/>
    <col min="12289" max="12289" width="57.21875" style="482" bestFit="1" customWidth="1"/>
    <col min="12290" max="12290" width="10.6640625" style="482" bestFit="1" customWidth="1"/>
    <col min="12291" max="12301" width="0" style="482" hidden="1" customWidth="1"/>
    <col min="12302" max="12302" width="14.88671875" style="482" bestFit="1" customWidth="1"/>
    <col min="12303" max="12311" width="0" style="482" hidden="1" customWidth="1"/>
    <col min="12312" max="12312" width="10.44140625" style="482" customWidth="1"/>
    <col min="12313" max="12544" width="8.88671875" style="482"/>
    <col min="12545" max="12545" width="57.21875" style="482" bestFit="1" customWidth="1"/>
    <col min="12546" max="12546" width="10.6640625" style="482" bestFit="1" customWidth="1"/>
    <col min="12547" max="12557" width="0" style="482" hidden="1" customWidth="1"/>
    <col min="12558" max="12558" width="14.88671875" style="482" bestFit="1" customWidth="1"/>
    <col min="12559" max="12567" width="0" style="482" hidden="1" customWidth="1"/>
    <col min="12568" max="12568" width="10.44140625" style="482" customWidth="1"/>
    <col min="12569" max="12800" width="8.88671875" style="482"/>
    <col min="12801" max="12801" width="57.21875" style="482" bestFit="1" customWidth="1"/>
    <col min="12802" max="12802" width="10.6640625" style="482" bestFit="1" customWidth="1"/>
    <col min="12803" max="12813" width="0" style="482" hidden="1" customWidth="1"/>
    <col min="12814" max="12814" width="14.88671875" style="482" bestFit="1" customWidth="1"/>
    <col min="12815" max="12823" width="0" style="482" hidden="1" customWidth="1"/>
    <col min="12824" max="12824" width="10.44140625" style="482" customWidth="1"/>
    <col min="12825" max="13056" width="8.88671875" style="482"/>
    <col min="13057" max="13057" width="57.21875" style="482" bestFit="1" customWidth="1"/>
    <col min="13058" max="13058" width="10.6640625" style="482" bestFit="1" customWidth="1"/>
    <col min="13059" max="13069" width="0" style="482" hidden="1" customWidth="1"/>
    <col min="13070" max="13070" width="14.88671875" style="482" bestFit="1" customWidth="1"/>
    <col min="13071" max="13079" width="0" style="482" hidden="1" customWidth="1"/>
    <col min="13080" max="13080" width="10.44140625" style="482" customWidth="1"/>
    <col min="13081" max="13312" width="8.88671875" style="482"/>
    <col min="13313" max="13313" width="57.21875" style="482" bestFit="1" customWidth="1"/>
    <col min="13314" max="13314" width="10.6640625" style="482" bestFit="1" customWidth="1"/>
    <col min="13315" max="13325" width="0" style="482" hidden="1" customWidth="1"/>
    <col min="13326" max="13326" width="14.88671875" style="482" bestFit="1" customWidth="1"/>
    <col min="13327" max="13335" width="0" style="482" hidden="1" customWidth="1"/>
    <col min="13336" max="13336" width="10.44140625" style="482" customWidth="1"/>
    <col min="13337" max="13568" width="8.88671875" style="482"/>
    <col min="13569" max="13569" width="57.21875" style="482" bestFit="1" customWidth="1"/>
    <col min="13570" max="13570" width="10.6640625" style="482" bestFit="1" customWidth="1"/>
    <col min="13571" max="13581" width="0" style="482" hidden="1" customWidth="1"/>
    <col min="13582" max="13582" width="14.88671875" style="482" bestFit="1" customWidth="1"/>
    <col min="13583" max="13591" width="0" style="482" hidden="1" customWidth="1"/>
    <col min="13592" max="13592" width="10.44140625" style="482" customWidth="1"/>
    <col min="13593" max="13824" width="8.88671875" style="482"/>
    <col min="13825" max="13825" width="57.21875" style="482" bestFit="1" customWidth="1"/>
    <col min="13826" max="13826" width="10.6640625" style="482" bestFit="1" customWidth="1"/>
    <col min="13827" max="13837" width="0" style="482" hidden="1" customWidth="1"/>
    <col min="13838" max="13838" width="14.88671875" style="482" bestFit="1" customWidth="1"/>
    <col min="13839" max="13847" width="0" style="482" hidden="1" customWidth="1"/>
    <col min="13848" max="13848" width="10.44140625" style="482" customWidth="1"/>
    <col min="13849" max="14080" width="8.88671875" style="482"/>
    <col min="14081" max="14081" width="57.21875" style="482" bestFit="1" customWidth="1"/>
    <col min="14082" max="14082" width="10.6640625" style="482" bestFit="1" customWidth="1"/>
    <col min="14083" max="14093" width="0" style="482" hidden="1" customWidth="1"/>
    <col min="14094" max="14094" width="14.88671875" style="482" bestFit="1" customWidth="1"/>
    <col min="14095" max="14103" width="0" style="482" hidden="1" customWidth="1"/>
    <col min="14104" max="14104" width="10.44140625" style="482" customWidth="1"/>
    <col min="14105" max="14336" width="8.88671875" style="482"/>
    <col min="14337" max="14337" width="57.21875" style="482" bestFit="1" customWidth="1"/>
    <col min="14338" max="14338" width="10.6640625" style="482" bestFit="1" customWidth="1"/>
    <col min="14339" max="14349" width="0" style="482" hidden="1" customWidth="1"/>
    <col min="14350" max="14350" width="14.88671875" style="482" bestFit="1" customWidth="1"/>
    <col min="14351" max="14359" width="0" style="482" hidden="1" customWidth="1"/>
    <col min="14360" max="14360" width="10.44140625" style="482" customWidth="1"/>
    <col min="14361" max="14592" width="8.88671875" style="482"/>
    <col min="14593" max="14593" width="57.21875" style="482" bestFit="1" customWidth="1"/>
    <col min="14594" max="14594" width="10.6640625" style="482" bestFit="1" customWidth="1"/>
    <col min="14595" max="14605" width="0" style="482" hidden="1" customWidth="1"/>
    <col min="14606" max="14606" width="14.88671875" style="482" bestFit="1" customWidth="1"/>
    <col min="14607" max="14615" width="0" style="482" hidden="1" customWidth="1"/>
    <col min="14616" max="14616" width="10.44140625" style="482" customWidth="1"/>
    <col min="14617" max="14848" width="8.88671875" style="482"/>
    <col min="14849" max="14849" width="57.21875" style="482" bestFit="1" customWidth="1"/>
    <col min="14850" max="14850" width="10.6640625" style="482" bestFit="1" customWidth="1"/>
    <col min="14851" max="14861" width="0" style="482" hidden="1" customWidth="1"/>
    <col min="14862" max="14862" width="14.88671875" style="482" bestFit="1" customWidth="1"/>
    <col min="14863" max="14871" width="0" style="482" hidden="1" customWidth="1"/>
    <col min="14872" max="14872" width="10.44140625" style="482" customWidth="1"/>
    <col min="14873" max="15104" width="8.88671875" style="482"/>
    <col min="15105" max="15105" width="57.21875" style="482" bestFit="1" customWidth="1"/>
    <col min="15106" max="15106" width="10.6640625" style="482" bestFit="1" customWidth="1"/>
    <col min="15107" max="15117" width="0" style="482" hidden="1" customWidth="1"/>
    <col min="15118" max="15118" width="14.88671875" style="482" bestFit="1" customWidth="1"/>
    <col min="15119" max="15127" width="0" style="482" hidden="1" customWidth="1"/>
    <col min="15128" max="15128" width="10.44140625" style="482" customWidth="1"/>
    <col min="15129" max="15360" width="8.88671875" style="482"/>
    <col min="15361" max="15361" width="57.21875" style="482" bestFit="1" customWidth="1"/>
    <col min="15362" max="15362" width="10.6640625" style="482" bestFit="1" customWidth="1"/>
    <col min="15363" max="15373" width="0" style="482" hidden="1" customWidth="1"/>
    <col min="15374" max="15374" width="14.88671875" style="482" bestFit="1" customWidth="1"/>
    <col min="15375" max="15383" width="0" style="482" hidden="1" customWidth="1"/>
    <col min="15384" max="15384" width="10.44140625" style="482" customWidth="1"/>
    <col min="15385" max="15616" width="8.88671875" style="482"/>
    <col min="15617" max="15617" width="57.21875" style="482" bestFit="1" customWidth="1"/>
    <col min="15618" max="15618" width="10.6640625" style="482" bestFit="1" customWidth="1"/>
    <col min="15619" max="15629" width="0" style="482" hidden="1" customWidth="1"/>
    <col min="15630" max="15630" width="14.88671875" style="482" bestFit="1" customWidth="1"/>
    <col min="15631" max="15639" width="0" style="482" hidden="1" customWidth="1"/>
    <col min="15640" max="15640" width="10.44140625" style="482" customWidth="1"/>
    <col min="15641" max="15872" width="8.88671875" style="482"/>
    <col min="15873" max="15873" width="57.21875" style="482" bestFit="1" customWidth="1"/>
    <col min="15874" max="15874" width="10.6640625" style="482" bestFit="1" customWidth="1"/>
    <col min="15875" max="15885" width="0" style="482" hidden="1" customWidth="1"/>
    <col min="15886" max="15886" width="14.88671875" style="482" bestFit="1" customWidth="1"/>
    <col min="15887" max="15895" width="0" style="482" hidden="1" customWidth="1"/>
    <col min="15896" max="15896" width="10.44140625" style="482" customWidth="1"/>
    <col min="15897" max="16128" width="8.88671875" style="482"/>
    <col min="16129" max="16129" width="57.21875" style="482" bestFit="1" customWidth="1"/>
    <col min="16130" max="16130" width="10.6640625" style="482" bestFit="1" customWidth="1"/>
    <col min="16131" max="16141" width="0" style="482" hidden="1" customWidth="1"/>
    <col min="16142" max="16142" width="14.88671875" style="482" bestFit="1" customWidth="1"/>
    <col min="16143" max="16151" width="0" style="482" hidden="1" customWidth="1"/>
    <col min="16152" max="16152" width="10.44140625" style="482" customWidth="1"/>
    <col min="16153" max="16384" width="8.88671875" style="482"/>
  </cols>
  <sheetData>
    <row r="1" spans="1:19" s="471" customFormat="1" ht="16.2">
      <c r="A1" s="579" t="s">
        <v>303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P1" s="472"/>
      <c r="Q1" s="473"/>
      <c r="R1" s="474"/>
      <c r="S1" s="475"/>
    </row>
    <row r="2" spans="1:19" s="471" customFormat="1" ht="15.6">
      <c r="A2" s="581" t="s">
        <v>319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P2" s="472"/>
      <c r="Q2" s="476"/>
      <c r="R2" s="477"/>
      <c r="S2" s="475"/>
    </row>
    <row r="3" spans="1:19" s="471" customFormat="1" ht="15.6">
      <c r="A3" s="577" t="str">
        <f>R4</f>
        <v>May 2017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P3" s="472"/>
      <c r="Q3" s="476"/>
      <c r="R3" s="477"/>
      <c r="S3" s="475"/>
    </row>
    <row r="4" spans="1:19" s="471" customFormat="1">
      <c r="A4" s="478"/>
      <c r="B4" s="465"/>
      <c r="C4" s="465"/>
      <c r="D4" s="465"/>
      <c r="E4" s="465"/>
      <c r="F4" s="465"/>
      <c r="G4" s="465"/>
      <c r="H4" s="479"/>
      <c r="I4" s="479"/>
      <c r="J4" s="479"/>
      <c r="K4" s="446"/>
      <c r="L4" s="446"/>
      <c r="M4" s="446"/>
      <c r="N4" s="446"/>
      <c r="P4" s="472"/>
      <c r="Q4" s="476" t="s">
        <v>400</v>
      </c>
      <c r="R4" s="477" t="str">
        <f>TEXT(S4,"mmmm yyyy")</f>
        <v>May 2017</v>
      </c>
      <c r="S4" s="453">
        <v>42886</v>
      </c>
    </row>
    <row r="5" spans="1:19">
      <c r="A5" s="480"/>
      <c r="B5" s="465"/>
      <c r="C5" s="465"/>
      <c r="D5" s="465"/>
      <c r="E5" s="465"/>
      <c r="F5" s="465"/>
      <c r="G5" s="465"/>
      <c r="H5" s="481"/>
      <c r="I5" s="481"/>
      <c r="J5" s="481"/>
      <c r="K5" s="465"/>
      <c r="L5" s="465"/>
      <c r="M5" s="465"/>
      <c r="N5" s="465"/>
      <c r="Q5" s="476" t="s">
        <v>407</v>
      </c>
      <c r="R5" s="477" t="str">
        <f>S5</f>
        <v>.</v>
      </c>
      <c r="S5" s="449" t="s">
        <v>402</v>
      </c>
    </row>
    <row r="6" spans="1:19" ht="15.6">
      <c r="A6" s="122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76" t="s">
        <v>403</v>
      </c>
      <c r="R6" s="477" t="str">
        <f>S6</f>
        <v>2017</v>
      </c>
      <c r="S6" s="449" t="s">
        <v>404</v>
      </c>
    </row>
    <row r="7" spans="1:19" s="484" customFormat="1" ht="16.2" thickBot="1">
      <c r="A7" s="123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P7" s="483"/>
      <c r="Q7" s="485" t="s">
        <v>405</v>
      </c>
      <c r="R7" s="477" t="str">
        <f>TEXT(S7,"mmmm-dd-yyyy")</f>
        <v>May-31-2017</v>
      </c>
      <c r="S7" s="453">
        <f>S4</f>
        <v>42886</v>
      </c>
    </row>
    <row r="8" spans="1:19" ht="16.2" thickTop="1">
      <c r="A8" s="122"/>
      <c r="B8" s="107"/>
      <c r="C8" s="107"/>
      <c r="D8" s="107"/>
      <c r="E8" s="107"/>
      <c r="F8" s="107"/>
      <c r="G8" s="107"/>
      <c r="H8" s="124"/>
      <c r="I8" s="125"/>
      <c r="J8" s="125"/>
      <c r="K8" s="107"/>
      <c r="L8" s="107"/>
      <c r="M8" s="107"/>
      <c r="N8" s="107"/>
      <c r="Q8" s="485" t="s">
        <v>405</v>
      </c>
      <c r="R8" s="477" t="str">
        <f>TEXT(S8,"mm/dd/yy")</f>
        <v>05/31/17</v>
      </c>
      <c r="S8" s="453">
        <f>S4</f>
        <v>42886</v>
      </c>
    </row>
    <row r="9" spans="1:19" ht="16.2" thickBot="1">
      <c r="A9" s="534" t="s">
        <v>320</v>
      </c>
      <c r="B9" s="112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>B9</f>
        <v>0</v>
      </c>
      <c r="Q9" s="476" t="s">
        <v>403</v>
      </c>
      <c r="R9" s="477">
        <f>S9</f>
        <v>17</v>
      </c>
      <c r="S9" s="449">
        <v>17</v>
      </c>
    </row>
    <row r="10" spans="1:19" ht="15.6">
      <c r="A10" s="122"/>
      <c r="B10" s="107"/>
      <c r="C10" s="107"/>
      <c r="D10" s="107"/>
      <c r="E10" s="107"/>
      <c r="F10" s="107"/>
      <c r="G10" s="107"/>
      <c r="H10" s="124"/>
      <c r="I10" s="124"/>
      <c r="J10" s="124"/>
      <c r="K10" s="107"/>
      <c r="L10" s="107"/>
      <c r="M10" s="107"/>
      <c r="N10" s="107"/>
      <c r="Q10" s="524" t="s">
        <v>406</v>
      </c>
      <c r="R10" s="525" t="str">
        <f>"0"&amp;S10</f>
        <v>016</v>
      </c>
      <c r="S10" s="449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24"/>
      <c r="I11" s="124"/>
      <c r="J11" s="124"/>
      <c r="K11" s="107"/>
      <c r="L11" s="107"/>
      <c r="M11" s="107"/>
      <c r="N11" s="107"/>
    </row>
    <row r="12" spans="1:19" ht="15.6">
      <c r="A12" s="122"/>
      <c r="B12" s="107"/>
      <c r="C12" s="107"/>
      <c r="D12" s="107"/>
      <c r="E12" s="107"/>
      <c r="F12" s="107"/>
      <c r="G12" s="107"/>
      <c r="H12" s="124"/>
      <c r="I12" s="124"/>
      <c r="J12" s="124"/>
      <c r="K12" s="107"/>
      <c r="L12" s="107"/>
      <c r="M12" s="107"/>
      <c r="N12" s="107"/>
    </row>
    <row r="13" spans="1:19" ht="15.6">
      <c r="A13" s="126" t="s">
        <v>321</v>
      </c>
      <c r="B13" s="121">
        <v>1825.11</v>
      </c>
      <c r="C13" s="127">
        <v>627.23</v>
      </c>
      <c r="D13" s="121">
        <v>3552.8700000000003</v>
      </c>
      <c r="E13" s="121">
        <v>828.12</v>
      </c>
      <c r="F13" s="121">
        <v>31435.689999999995</v>
      </c>
      <c r="G13" s="121">
        <v>15225.18</v>
      </c>
      <c r="H13" s="121">
        <v>1458.2099999999996</v>
      </c>
      <c r="I13" s="121">
        <v>19759.100000000002</v>
      </c>
      <c r="J13" s="121">
        <v>1570.9299999999996</v>
      </c>
      <c r="K13" s="121"/>
      <c r="L13" s="121"/>
      <c r="M13" s="121"/>
      <c r="N13" s="121">
        <f>ROUND(SUM(B13:M13),0)</f>
        <v>76282</v>
      </c>
      <c r="O13" s="486"/>
    </row>
    <row r="14" spans="1:19" ht="15.6">
      <c r="A14" s="122" t="s">
        <v>322</v>
      </c>
      <c r="B14" s="121">
        <v>5701.66</v>
      </c>
      <c r="C14" s="127">
        <v>5972.99</v>
      </c>
      <c r="D14" s="121">
        <v>4638.1400000000003</v>
      </c>
      <c r="E14" s="121">
        <v>4243.87</v>
      </c>
      <c r="F14" s="121">
        <v>4761.3900000000003</v>
      </c>
      <c r="G14" s="121">
        <v>4675.51</v>
      </c>
      <c r="H14" s="121">
        <v>7094.35</v>
      </c>
      <c r="I14" s="121">
        <v>6273.65</v>
      </c>
      <c r="J14" s="121">
        <v>4353.32</v>
      </c>
      <c r="K14" s="121"/>
      <c r="L14" s="121"/>
      <c r="M14" s="121"/>
      <c r="N14" s="121">
        <f t="shared" ref="N14:N20" si="1">ROUND(SUM(B14:M14),0)</f>
        <v>47715</v>
      </c>
    </row>
    <row r="15" spans="1:19" ht="15.6">
      <c r="A15" s="128" t="s">
        <v>418</v>
      </c>
      <c r="B15" s="121">
        <v>0</v>
      </c>
      <c r="C15" s="127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>
        <f t="shared" si="1"/>
        <v>0</v>
      </c>
    </row>
    <row r="16" spans="1:19" ht="15.6">
      <c r="A16" s="122" t="s">
        <v>323</v>
      </c>
      <c r="B16" s="121">
        <v>0</v>
      </c>
      <c r="C16" s="127">
        <v>21230.15</v>
      </c>
      <c r="D16" s="121">
        <v>20626.88</v>
      </c>
      <c r="E16" s="121">
        <v>2458</v>
      </c>
      <c r="F16" s="121">
        <v>0</v>
      </c>
      <c r="G16" s="121">
        <v>19598.2</v>
      </c>
      <c r="H16" s="121">
        <v>512146</v>
      </c>
      <c r="I16" s="121">
        <v>757852.17</v>
      </c>
      <c r="J16" s="121">
        <v>3120</v>
      </c>
      <c r="K16" s="121"/>
      <c r="L16" s="121"/>
      <c r="M16" s="121"/>
      <c r="N16" s="121">
        <f t="shared" si="1"/>
        <v>1337031</v>
      </c>
    </row>
    <row r="17" spans="1:16" ht="15.6">
      <c r="A17" s="122" t="s">
        <v>419</v>
      </c>
      <c r="B17" s="121"/>
      <c r="C17" s="127"/>
      <c r="D17" s="121"/>
      <c r="E17" s="121"/>
      <c r="F17" s="121"/>
      <c r="G17" s="121"/>
      <c r="H17" s="121"/>
      <c r="J17" s="121"/>
      <c r="K17" s="121"/>
      <c r="L17" s="121"/>
      <c r="M17" s="121"/>
      <c r="N17" s="121">
        <f t="shared" si="1"/>
        <v>0</v>
      </c>
    </row>
    <row r="18" spans="1:16" ht="15.6">
      <c r="A18" s="128" t="s">
        <v>324</v>
      </c>
      <c r="B18" s="121">
        <v>1272.2399999999998</v>
      </c>
      <c r="C18" s="127">
        <v>1556.3600000000001</v>
      </c>
      <c r="D18" s="121">
        <v>555.17999999999995</v>
      </c>
      <c r="E18" s="121">
        <v>1819.2800000000002</v>
      </c>
      <c r="F18" s="121">
        <v>1145.9499999999998</v>
      </c>
      <c r="G18" s="121">
        <v>910.42000000000007</v>
      </c>
      <c r="H18" s="121">
        <v>2283.91</v>
      </c>
      <c r="I18" s="121">
        <v>2204.1799999999998</v>
      </c>
      <c r="J18" s="121">
        <v>912.45</v>
      </c>
      <c r="K18" s="121"/>
      <c r="L18" s="121"/>
      <c r="M18" s="121"/>
      <c r="N18" s="121">
        <f t="shared" si="1"/>
        <v>12660</v>
      </c>
    </row>
    <row r="19" spans="1:16" ht="15.6">
      <c r="A19" s="128" t="s">
        <v>420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>
        <f t="shared" si="1"/>
        <v>0</v>
      </c>
    </row>
    <row r="20" spans="1:16" ht="15.6">
      <c r="A20" s="126" t="s">
        <v>421</v>
      </c>
      <c r="B20" s="121"/>
      <c r="C20" s="121"/>
      <c r="D20" s="121"/>
      <c r="E20" s="121"/>
      <c r="F20" s="121"/>
      <c r="G20" s="121">
        <v>34408.58</v>
      </c>
      <c r="H20" s="121"/>
      <c r="I20" s="121"/>
      <c r="J20" s="121">
        <v>39387.39</v>
      </c>
      <c r="K20" s="121"/>
      <c r="L20" s="121"/>
      <c r="M20" s="121"/>
      <c r="N20" s="121">
        <f t="shared" si="1"/>
        <v>73796</v>
      </c>
    </row>
    <row r="21" spans="1:16" ht="15.6">
      <c r="A21" s="122" t="s">
        <v>325</v>
      </c>
      <c r="B21" s="107">
        <v>19973.77</v>
      </c>
      <c r="C21" s="107">
        <v>5922.73</v>
      </c>
      <c r="D21" s="107">
        <v>1140</v>
      </c>
      <c r="E21" s="107">
        <v>0</v>
      </c>
      <c r="F21" s="107">
        <v>0</v>
      </c>
      <c r="G21" s="107">
        <v>105</v>
      </c>
      <c r="H21" s="107"/>
      <c r="I21" s="107"/>
      <c r="J21" s="107"/>
      <c r="K21" s="107"/>
      <c r="L21" s="107"/>
      <c r="M21" s="107"/>
      <c r="N21" s="121">
        <f>ROUND(SUM(B21:M21),0)</f>
        <v>27142</v>
      </c>
      <c r="P21" s="482"/>
    </row>
    <row r="22" spans="1:16" ht="15.6">
      <c r="A22" s="122"/>
      <c r="B22" s="107"/>
      <c r="C22" s="107"/>
      <c r="D22" s="107"/>
      <c r="E22" s="107"/>
      <c r="F22" s="107"/>
      <c r="G22" s="107"/>
      <c r="H22" s="124"/>
      <c r="I22" s="124"/>
      <c r="J22" s="124"/>
      <c r="K22" s="107"/>
      <c r="L22" s="107"/>
      <c r="M22" s="107"/>
      <c r="N22" s="107"/>
    </row>
    <row r="23" spans="1:16" ht="15.6">
      <c r="A23" s="108" t="s">
        <v>295</v>
      </c>
      <c r="B23" s="116">
        <f>SUM(B13:B22)</f>
        <v>28772.78</v>
      </c>
      <c r="C23" s="116">
        <f t="shared" ref="C23:J23" si="2">SUM(C13:C22)</f>
        <v>35309.460000000006</v>
      </c>
      <c r="D23" s="116">
        <f t="shared" si="2"/>
        <v>30513.07</v>
      </c>
      <c r="E23" s="116">
        <f t="shared" si="2"/>
        <v>9349.27</v>
      </c>
      <c r="F23" s="116">
        <f t="shared" si="2"/>
        <v>37343.029999999992</v>
      </c>
      <c r="G23" s="116">
        <f t="shared" si="2"/>
        <v>74922.89</v>
      </c>
      <c r="H23" s="116">
        <f t="shared" si="2"/>
        <v>522982.47</v>
      </c>
      <c r="I23" s="116">
        <f t="shared" si="2"/>
        <v>786089.10000000009</v>
      </c>
      <c r="J23" s="116">
        <f t="shared" si="2"/>
        <v>49344.09</v>
      </c>
      <c r="K23" s="116">
        <f t="shared" ref="K23:M23" si="3">ROUND((SUM(K13:K22)),0)</f>
        <v>0</v>
      </c>
      <c r="L23" s="116">
        <f t="shared" si="3"/>
        <v>0</v>
      </c>
      <c r="M23" s="116">
        <f t="shared" si="3"/>
        <v>0</v>
      </c>
      <c r="N23" s="116">
        <f>SUM(B23:M23)</f>
        <v>1574626.1600000001</v>
      </c>
    </row>
    <row r="24" spans="1:16" ht="15.6">
      <c r="A24" s="122"/>
      <c r="B24" s="107"/>
      <c r="C24" s="107"/>
      <c r="D24" s="107"/>
      <c r="E24" s="107"/>
      <c r="F24" s="107"/>
      <c r="G24" s="107"/>
      <c r="H24" s="130"/>
      <c r="I24" s="130"/>
      <c r="J24" s="130"/>
      <c r="K24" s="107"/>
      <c r="L24" s="107"/>
      <c r="M24" s="107"/>
      <c r="N24" s="107"/>
    </row>
    <row r="25" spans="1:16" ht="15.6">
      <c r="A25" s="106" t="s">
        <v>294</v>
      </c>
      <c r="B25" s="107"/>
      <c r="C25" s="107"/>
      <c r="D25" s="107"/>
      <c r="E25" s="107"/>
      <c r="F25" s="107"/>
      <c r="G25" s="107"/>
      <c r="H25" s="130"/>
      <c r="I25" s="130"/>
      <c r="J25" s="130"/>
      <c r="K25" s="107"/>
      <c r="L25" s="107"/>
      <c r="M25" s="107"/>
      <c r="N25" s="107"/>
    </row>
    <row r="26" spans="1:16" ht="15.6">
      <c r="A26" s="131"/>
      <c r="B26" s="107"/>
      <c r="C26" s="107"/>
      <c r="D26" s="107"/>
      <c r="E26" s="107"/>
      <c r="F26" s="107"/>
      <c r="G26" s="107"/>
      <c r="H26" s="130"/>
      <c r="I26" s="130"/>
      <c r="J26" s="130"/>
      <c r="K26" s="107"/>
      <c r="L26" s="107"/>
      <c r="M26" s="107"/>
      <c r="N26" s="107"/>
    </row>
    <row r="27" spans="1:16" ht="15.6">
      <c r="A27" s="120" t="s">
        <v>315</v>
      </c>
      <c r="B27" s="107">
        <f>-B23</f>
        <v>-28772.78</v>
      </c>
      <c r="C27" s="107">
        <f t="shared" ref="C27:J27" si="4">-C23</f>
        <v>-35309.460000000006</v>
      </c>
      <c r="D27" s="107">
        <f t="shared" si="4"/>
        <v>-30513.07</v>
      </c>
      <c r="E27" s="107">
        <f t="shared" si="4"/>
        <v>-9349.27</v>
      </c>
      <c r="F27" s="107">
        <f t="shared" si="4"/>
        <v>-37343.029999999992</v>
      </c>
      <c r="G27" s="107">
        <f t="shared" si="4"/>
        <v>-74922.89</v>
      </c>
      <c r="H27" s="107">
        <f t="shared" si="4"/>
        <v>-522982.47</v>
      </c>
      <c r="I27" s="107">
        <f t="shared" si="4"/>
        <v>-786089.10000000009</v>
      </c>
      <c r="J27" s="107">
        <f t="shared" si="4"/>
        <v>-49344.09</v>
      </c>
      <c r="K27" s="107">
        <f t="shared" ref="K27:M27" si="5">ROUND(-K23,0)</f>
        <v>0</v>
      </c>
      <c r="L27" s="107">
        <f t="shared" si="5"/>
        <v>0</v>
      </c>
      <c r="M27" s="107">
        <f t="shared" si="5"/>
        <v>0</v>
      </c>
      <c r="N27" s="107">
        <f>ROUND(SUM(B27:M27),0)</f>
        <v>-1574626</v>
      </c>
    </row>
    <row r="28" spans="1:16" ht="15.6">
      <c r="A28" s="131"/>
      <c r="B28" s="107"/>
      <c r="C28" s="107"/>
      <c r="D28" s="107"/>
      <c r="E28" s="107"/>
      <c r="F28" s="107"/>
      <c r="G28" s="107"/>
      <c r="H28" s="130"/>
      <c r="I28" s="130"/>
      <c r="J28" s="130"/>
      <c r="K28" s="107"/>
      <c r="L28" s="107"/>
      <c r="M28" s="107"/>
      <c r="N28" s="107"/>
    </row>
    <row r="29" spans="1:16" ht="15.6">
      <c r="A29" s="131"/>
      <c r="B29" s="107"/>
      <c r="C29" s="107"/>
      <c r="D29" s="107"/>
      <c r="E29" s="107"/>
      <c r="F29" s="107"/>
      <c r="G29" s="107"/>
      <c r="H29" s="130"/>
      <c r="I29" s="130"/>
      <c r="J29" s="130"/>
      <c r="K29" s="107"/>
      <c r="L29" s="107"/>
      <c r="M29" s="107"/>
      <c r="N29" s="107"/>
    </row>
    <row r="30" spans="1:16" ht="15.6">
      <c r="A30" s="106" t="s">
        <v>292</v>
      </c>
      <c r="B30" s="116">
        <f>ROUND(SUM(B26:B29),0)</f>
        <v>-28773</v>
      </c>
      <c r="C30" s="116">
        <f t="shared" ref="C30:M30" si="6">ROUND(SUM(C26:C29),0)</f>
        <v>-35309</v>
      </c>
      <c r="D30" s="116">
        <f>ROUND(SUM(D26:D29),0)</f>
        <v>-30513</v>
      </c>
      <c r="E30" s="116">
        <f t="shared" si="6"/>
        <v>-9349</v>
      </c>
      <c r="F30" s="116">
        <f t="shared" si="6"/>
        <v>-37343</v>
      </c>
      <c r="G30" s="116">
        <f t="shared" si="6"/>
        <v>-74923</v>
      </c>
      <c r="H30" s="116">
        <f t="shared" si="6"/>
        <v>-522982</v>
      </c>
      <c r="I30" s="116">
        <f t="shared" si="6"/>
        <v>-786089</v>
      </c>
      <c r="J30" s="116">
        <f t="shared" si="6"/>
        <v>-49344</v>
      </c>
      <c r="K30" s="116">
        <f t="shared" si="6"/>
        <v>0</v>
      </c>
      <c r="L30" s="116">
        <f t="shared" si="6"/>
        <v>0</v>
      </c>
      <c r="M30" s="116">
        <f t="shared" si="6"/>
        <v>0</v>
      </c>
      <c r="N30" s="116">
        <f>SUM(N26:N29)</f>
        <v>-1574626</v>
      </c>
    </row>
    <row r="31" spans="1:16" ht="15.6">
      <c r="A31" s="122"/>
      <c r="B31" s="107"/>
      <c r="C31" s="107"/>
      <c r="D31" s="107"/>
      <c r="E31" s="107"/>
      <c r="F31" s="107"/>
      <c r="G31" s="107"/>
      <c r="H31" s="130"/>
      <c r="I31" s="130"/>
      <c r="J31" s="130"/>
      <c r="K31" s="107"/>
      <c r="L31" s="107"/>
      <c r="M31" s="107"/>
      <c r="N31" s="107"/>
    </row>
    <row r="32" spans="1:16" ht="16.2" thickBot="1">
      <c r="A32" s="550" t="s">
        <v>291</v>
      </c>
      <c r="B32" s="549">
        <f>ROUND(+B9+B23+B30,0)</f>
        <v>0</v>
      </c>
      <c r="C32" s="549">
        <f t="shared" ref="C32:N32" si="7">ROUND(+C9+C23+C30,0)</f>
        <v>0</v>
      </c>
      <c r="D32" s="549">
        <f t="shared" si="7"/>
        <v>0</v>
      </c>
      <c r="E32" s="549">
        <f t="shared" si="7"/>
        <v>0</v>
      </c>
      <c r="F32" s="549">
        <f t="shared" si="7"/>
        <v>0</v>
      </c>
      <c r="G32" s="549">
        <f t="shared" si="7"/>
        <v>0</v>
      </c>
      <c r="H32" s="549">
        <f t="shared" si="7"/>
        <v>0</v>
      </c>
      <c r="I32" s="549">
        <f t="shared" si="7"/>
        <v>0</v>
      </c>
      <c r="J32" s="549">
        <f t="shared" si="7"/>
        <v>0</v>
      </c>
      <c r="K32" s="549">
        <f t="shared" si="7"/>
        <v>0</v>
      </c>
      <c r="L32" s="549">
        <f t="shared" si="7"/>
        <v>0</v>
      </c>
      <c r="M32" s="549">
        <f t="shared" si="7"/>
        <v>0</v>
      </c>
      <c r="N32" s="549">
        <f t="shared" si="7"/>
        <v>0</v>
      </c>
    </row>
    <row r="33" spans="1:14" ht="16.2" thickTop="1">
      <c r="A33" s="13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.6">
      <c r="A34" s="13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.6">
      <c r="A35" s="132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6">
      <c r="A36" s="132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5.6">
      <c r="A37" s="132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.6">
      <c r="A38" s="132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5.6">
      <c r="A39" s="132"/>
      <c r="B39" s="101"/>
      <c r="C39" s="133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5.6">
      <c r="A40" s="132"/>
      <c r="B40" s="101"/>
      <c r="C40" s="133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5.6">
      <c r="A41" s="132"/>
      <c r="B41" s="101"/>
      <c r="C41" s="13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>
      <c r="C42" s="487"/>
    </row>
    <row r="43" spans="1:14">
      <c r="C43" s="487"/>
    </row>
    <row r="44" spans="1:14">
      <c r="C44" s="487"/>
    </row>
    <row r="45" spans="1:14">
      <c r="C45" s="487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43"/>
  <sheetViews>
    <sheetView topLeftCell="A7" zoomScale="85" zoomScaleNormal="85" zoomScaleSheetLayoutView="85" workbookViewId="0">
      <selection activeCell="A29" sqref="A29"/>
    </sheetView>
  </sheetViews>
  <sheetFormatPr defaultRowHeight="13.2"/>
  <cols>
    <col min="1" max="1" width="71.33203125" style="482" bestFit="1" customWidth="1"/>
    <col min="2" max="2" width="11.44140625" style="454" hidden="1" customWidth="1"/>
    <col min="3" max="3" width="12" style="454" hidden="1" customWidth="1"/>
    <col min="4" max="5" width="12.21875" style="454" hidden="1" customWidth="1"/>
    <col min="6" max="7" width="12" style="454" hidden="1" customWidth="1"/>
    <col min="8" max="8" width="12.5546875" style="454" hidden="1" customWidth="1"/>
    <col min="9" max="9" width="12.21875" style="454" hidden="1" customWidth="1"/>
    <col min="10" max="10" width="12.6640625" style="454" customWidth="1"/>
    <col min="11" max="11" width="12.21875" style="454" hidden="1" customWidth="1"/>
    <col min="12" max="12" width="11.5546875" style="454" hidden="1" customWidth="1"/>
    <col min="13" max="13" width="12.5546875" style="454" hidden="1" customWidth="1"/>
    <col min="14" max="14" width="17.21875" style="454" bestFit="1" customWidth="1"/>
    <col min="15" max="15" width="22.21875" style="482" customWidth="1"/>
    <col min="16" max="16" width="22.21875" style="483" customWidth="1"/>
    <col min="17" max="17" width="17.21875" style="482" hidden="1" customWidth="1"/>
    <col min="18" max="18" width="15.109375" style="482" hidden="1" customWidth="1"/>
    <col min="19" max="19" width="10.44140625" style="482" hidden="1" customWidth="1"/>
    <col min="20" max="20" width="22.21875" style="482" customWidth="1"/>
    <col min="21" max="22" width="9.21875" style="482" customWidth="1"/>
    <col min="23" max="23" width="12.6640625" style="482" customWidth="1"/>
    <col min="24" max="24" width="10.44140625" style="482" customWidth="1"/>
    <col min="25" max="256" width="8.88671875" style="482"/>
    <col min="257" max="257" width="63.5546875" style="482" bestFit="1" customWidth="1"/>
    <col min="258" max="258" width="10.6640625" style="482" bestFit="1" customWidth="1"/>
    <col min="259" max="269" width="0" style="482" hidden="1" customWidth="1"/>
    <col min="270" max="270" width="14.88671875" style="482" bestFit="1" customWidth="1"/>
    <col min="271" max="279" width="0" style="482" hidden="1" customWidth="1"/>
    <col min="280" max="280" width="10.44140625" style="482" customWidth="1"/>
    <col min="281" max="512" width="8.88671875" style="482"/>
    <col min="513" max="513" width="63.5546875" style="482" bestFit="1" customWidth="1"/>
    <col min="514" max="514" width="10.6640625" style="482" bestFit="1" customWidth="1"/>
    <col min="515" max="525" width="0" style="482" hidden="1" customWidth="1"/>
    <col min="526" max="526" width="14.88671875" style="482" bestFit="1" customWidth="1"/>
    <col min="527" max="535" width="0" style="482" hidden="1" customWidth="1"/>
    <col min="536" max="536" width="10.44140625" style="482" customWidth="1"/>
    <col min="537" max="768" width="8.88671875" style="482"/>
    <col min="769" max="769" width="63.5546875" style="482" bestFit="1" customWidth="1"/>
    <col min="770" max="770" width="10.6640625" style="482" bestFit="1" customWidth="1"/>
    <col min="771" max="781" width="0" style="482" hidden="1" customWidth="1"/>
    <col min="782" max="782" width="14.88671875" style="482" bestFit="1" customWidth="1"/>
    <col min="783" max="791" width="0" style="482" hidden="1" customWidth="1"/>
    <col min="792" max="792" width="10.44140625" style="482" customWidth="1"/>
    <col min="793" max="1024" width="8.88671875" style="482"/>
    <col min="1025" max="1025" width="63.5546875" style="482" bestFit="1" customWidth="1"/>
    <col min="1026" max="1026" width="10.6640625" style="482" bestFit="1" customWidth="1"/>
    <col min="1027" max="1037" width="0" style="482" hidden="1" customWidth="1"/>
    <col min="1038" max="1038" width="14.88671875" style="482" bestFit="1" customWidth="1"/>
    <col min="1039" max="1047" width="0" style="482" hidden="1" customWidth="1"/>
    <col min="1048" max="1048" width="10.44140625" style="482" customWidth="1"/>
    <col min="1049" max="1280" width="8.88671875" style="482"/>
    <col min="1281" max="1281" width="63.5546875" style="482" bestFit="1" customWidth="1"/>
    <col min="1282" max="1282" width="10.6640625" style="482" bestFit="1" customWidth="1"/>
    <col min="1283" max="1293" width="0" style="482" hidden="1" customWidth="1"/>
    <col min="1294" max="1294" width="14.88671875" style="482" bestFit="1" customWidth="1"/>
    <col min="1295" max="1303" width="0" style="482" hidden="1" customWidth="1"/>
    <col min="1304" max="1304" width="10.44140625" style="482" customWidth="1"/>
    <col min="1305" max="1536" width="8.88671875" style="482"/>
    <col min="1537" max="1537" width="63.5546875" style="482" bestFit="1" customWidth="1"/>
    <col min="1538" max="1538" width="10.6640625" style="482" bestFit="1" customWidth="1"/>
    <col min="1539" max="1549" width="0" style="482" hidden="1" customWidth="1"/>
    <col min="1550" max="1550" width="14.88671875" style="482" bestFit="1" customWidth="1"/>
    <col min="1551" max="1559" width="0" style="482" hidden="1" customWidth="1"/>
    <col min="1560" max="1560" width="10.44140625" style="482" customWidth="1"/>
    <col min="1561" max="1792" width="8.88671875" style="482"/>
    <col min="1793" max="1793" width="63.5546875" style="482" bestFit="1" customWidth="1"/>
    <col min="1794" max="1794" width="10.6640625" style="482" bestFit="1" customWidth="1"/>
    <col min="1795" max="1805" width="0" style="482" hidden="1" customWidth="1"/>
    <col min="1806" max="1806" width="14.88671875" style="482" bestFit="1" customWidth="1"/>
    <col min="1807" max="1815" width="0" style="482" hidden="1" customWidth="1"/>
    <col min="1816" max="1816" width="10.44140625" style="482" customWidth="1"/>
    <col min="1817" max="2048" width="8.88671875" style="482"/>
    <col min="2049" max="2049" width="63.5546875" style="482" bestFit="1" customWidth="1"/>
    <col min="2050" max="2050" width="10.6640625" style="482" bestFit="1" customWidth="1"/>
    <col min="2051" max="2061" width="0" style="482" hidden="1" customWidth="1"/>
    <col min="2062" max="2062" width="14.88671875" style="482" bestFit="1" customWidth="1"/>
    <col min="2063" max="2071" width="0" style="482" hidden="1" customWidth="1"/>
    <col min="2072" max="2072" width="10.44140625" style="482" customWidth="1"/>
    <col min="2073" max="2304" width="8.88671875" style="482"/>
    <col min="2305" max="2305" width="63.5546875" style="482" bestFit="1" customWidth="1"/>
    <col min="2306" max="2306" width="10.6640625" style="482" bestFit="1" customWidth="1"/>
    <col min="2307" max="2317" width="0" style="482" hidden="1" customWidth="1"/>
    <col min="2318" max="2318" width="14.88671875" style="482" bestFit="1" customWidth="1"/>
    <col min="2319" max="2327" width="0" style="482" hidden="1" customWidth="1"/>
    <col min="2328" max="2328" width="10.44140625" style="482" customWidth="1"/>
    <col min="2329" max="2560" width="8.88671875" style="482"/>
    <col min="2561" max="2561" width="63.5546875" style="482" bestFit="1" customWidth="1"/>
    <col min="2562" max="2562" width="10.6640625" style="482" bestFit="1" customWidth="1"/>
    <col min="2563" max="2573" width="0" style="482" hidden="1" customWidth="1"/>
    <col min="2574" max="2574" width="14.88671875" style="482" bestFit="1" customWidth="1"/>
    <col min="2575" max="2583" width="0" style="482" hidden="1" customWidth="1"/>
    <col min="2584" max="2584" width="10.44140625" style="482" customWidth="1"/>
    <col min="2585" max="2816" width="8.88671875" style="482"/>
    <col min="2817" max="2817" width="63.5546875" style="482" bestFit="1" customWidth="1"/>
    <col min="2818" max="2818" width="10.6640625" style="482" bestFit="1" customWidth="1"/>
    <col min="2819" max="2829" width="0" style="482" hidden="1" customWidth="1"/>
    <col min="2830" max="2830" width="14.88671875" style="482" bestFit="1" customWidth="1"/>
    <col min="2831" max="2839" width="0" style="482" hidden="1" customWidth="1"/>
    <col min="2840" max="2840" width="10.44140625" style="482" customWidth="1"/>
    <col min="2841" max="3072" width="8.88671875" style="482"/>
    <col min="3073" max="3073" width="63.5546875" style="482" bestFit="1" customWidth="1"/>
    <col min="3074" max="3074" width="10.6640625" style="482" bestFit="1" customWidth="1"/>
    <col min="3075" max="3085" width="0" style="482" hidden="1" customWidth="1"/>
    <col min="3086" max="3086" width="14.88671875" style="482" bestFit="1" customWidth="1"/>
    <col min="3087" max="3095" width="0" style="482" hidden="1" customWidth="1"/>
    <col min="3096" max="3096" width="10.44140625" style="482" customWidth="1"/>
    <col min="3097" max="3328" width="8.88671875" style="482"/>
    <col min="3329" max="3329" width="63.5546875" style="482" bestFit="1" customWidth="1"/>
    <col min="3330" max="3330" width="10.6640625" style="482" bestFit="1" customWidth="1"/>
    <col min="3331" max="3341" width="0" style="482" hidden="1" customWidth="1"/>
    <col min="3342" max="3342" width="14.88671875" style="482" bestFit="1" customWidth="1"/>
    <col min="3343" max="3351" width="0" style="482" hidden="1" customWidth="1"/>
    <col min="3352" max="3352" width="10.44140625" style="482" customWidth="1"/>
    <col min="3353" max="3584" width="8.88671875" style="482"/>
    <col min="3585" max="3585" width="63.5546875" style="482" bestFit="1" customWidth="1"/>
    <col min="3586" max="3586" width="10.6640625" style="482" bestFit="1" customWidth="1"/>
    <col min="3587" max="3597" width="0" style="482" hidden="1" customWidth="1"/>
    <col min="3598" max="3598" width="14.88671875" style="482" bestFit="1" customWidth="1"/>
    <col min="3599" max="3607" width="0" style="482" hidden="1" customWidth="1"/>
    <col min="3608" max="3608" width="10.44140625" style="482" customWidth="1"/>
    <col min="3609" max="3840" width="8.88671875" style="482"/>
    <col min="3841" max="3841" width="63.5546875" style="482" bestFit="1" customWidth="1"/>
    <col min="3842" max="3842" width="10.6640625" style="482" bestFit="1" customWidth="1"/>
    <col min="3843" max="3853" width="0" style="482" hidden="1" customWidth="1"/>
    <col min="3854" max="3854" width="14.88671875" style="482" bestFit="1" customWidth="1"/>
    <col min="3855" max="3863" width="0" style="482" hidden="1" customWidth="1"/>
    <col min="3864" max="3864" width="10.44140625" style="482" customWidth="1"/>
    <col min="3865" max="4096" width="8.88671875" style="482"/>
    <col min="4097" max="4097" width="63.5546875" style="482" bestFit="1" customWidth="1"/>
    <col min="4098" max="4098" width="10.6640625" style="482" bestFit="1" customWidth="1"/>
    <col min="4099" max="4109" width="0" style="482" hidden="1" customWidth="1"/>
    <col min="4110" max="4110" width="14.88671875" style="482" bestFit="1" customWidth="1"/>
    <col min="4111" max="4119" width="0" style="482" hidden="1" customWidth="1"/>
    <col min="4120" max="4120" width="10.44140625" style="482" customWidth="1"/>
    <col min="4121" max="4352" width="8.88671875" style="482"/>
    <col min="4353" max="4353" width="63.5546875" style="482" bestFit="1" customWidth="1"/>
    <col min="4354" max="4354" width="10.6640625" style="482" bestFit="1" customWidth="1"/>
    <col min="4355" max="4365" width="0" style="482" hidden="1" customWidth="1"/>
    <col min="4366" max="4366" width="14.88671875" style="482" bestFit="1" customWidth="1"/>
    <col min="4367" max="4375" width="0" style="482" hidden="1" customWidth="1"/>
    <col min="4376" max="4376" width="10.44140625" style="482" customWidth="1"/>
    <col min="4377" max="4608" width="8.88671875" style="482"/>
    <col min="4609" max="4609" width="63.5546875" style="482" bestFit="1" customWidth="1"/>
    <col min="4610" max="4610" width="10.6640625" style="482" bestFit="1" customWidth="1"/>
    <col min="4611" max="4621" width="0" style="482" hidden="1" customWidth="1"/>
    <col min="4622" max="4622" width="14.88671875" style="482" bestFit="1" customWidth="1"/>
    <col min="4623" max="4631" width="0" style="482" hidden="1" customWidth="1"/>
    <col min="4632" max="4632" width="10.44140625" style="482" customWidth="1"/>
    <col min="4633" max="4864" width="8.88671875" style="482"/>
    <col min="4865" max="4865" width="63.5546875" style="482" bestFit="1" customWidth="1"/>
    <col min="4866" max="4866" width="10.6640625" style="482" bestFit="1" customWidth="1"/>
    <col min="4867" max="4877" width="0" style="482" hidden="1" customWidth="1"/>
    <col min="4878" max="4878" width="14.88671875" style="482" bestFit="1" customWidth="1"/>
    <col min="4879" max="4887" width="0" style="482" hidden="1" customWidth="1"/>
    <col min="4888" max="4888" width="10.44140625" style="482" customWidth="1"/>
    <col min="4889" max="5120" width="8.88671875" style="482"/>
    <col min="5121" max="5121" width="63.5546875" style="482" bestFit="1" customWidth="1"/>
    <col min="5122" max="5122" width="10.6640625" style="482" bestFit="1" customWidth="1"/>
    <col min="5123" max="5133" width="0" style="482" hidden="1" customWidth="1"/>
    <col min="5134" max="5134" width="14.88671875" style="482" bestFit="1" customWidth="1"/>
    <col min="5135" max="5143" width="0" style="482" hidden="1" customWidth="1"/>
    <col min="5144" max="5144" width="10.44140625" style="482" customWidth="1"/>
    <col min="5145" max="5376" width="8.88671875" style="482"/>
    <col min="5377" max="5377" width="63.5546875" style="482" bestFit="1" customWidth="1"/>
    <col min="5378" max="5378" width="10.6640625" style="482" bestFit="1" customWidth="1"/>
    <col min="5379" max="5389" width="0" style="482" hidden="1" customWidth="1"/>
    <col min="5390" max="5390" width="14.88671875" style="482" bestFit="1" customWidth="1"/>
    <col min="5391" max="5399" width="0" style="482" hidden="1" customWidth="1"/>
    <col min="5400" max="5400" width="10.44140625" style="482" customWidth="1"/>
    <col min="5401" max="5632" width="8.88671875" style="482"/>
    <col min="5633" max="5633" width="63.5546875" style="482" bestFit="1" customWidth="1"/>
    <col min="5634" max="5634" width="10.6640625" style="482" bestFit="1" customWidth="1"/>
    <col min="5635" max="5645" width="0" style="482" hidden="1" customWidth="1"/>
    <col min="5646" max="5646" width="14.88671875" style="482" bestFit="1" customWidth="1"/>
    <col min="5647" max="5655" width="0" style="482" hidden="1" customWidth="1"/>
    <col min="5656" max="5656" width="10.44140625" style="482" customWidth="1"/>
    <col min="5657" max="5888" width="8.88671875" style="482"/>
    <col min="5889" max="5889" width="63.5546875" style="482" bestFit="1" customWidth="1"/>
    <col min="5890" max="5890" width="10.6640625" style="482" bestFit="1" customWidth="1"/>
    <col min="5891" max="5901" width="0" style="482" hidden="1" customWidth="1"/>
    <col min="5902" max="5902" width="14.88671875" style="482" bestFit="1" customWidth="1"/>
    <col min="5903" max="5911" width="0" style="482" hidden="1" customWidth="1"/>
    <col min="5912" max="5912" width="10.44140625" style="482" customWidth="1"/>
    <col min="5913" max="6144" width="8.88671875" style="482"/>
    <col min="6145" max="6145" width="63.5546875" style="482" bestFit="1" customWidth="1"/>
    <col min="6146" max="6146" width="10.6640625" style="482" bestFit="1" customWidth="1"/>
    <col min="6147" max="6157" width="0" style="482" hidden="1" customWidth="1"/>
    <col min="6158" max="6158" width="14.88671875" style="482" bestFit="1" customWidth="1"/>
    <col min="6159" max="6167" width="0" style="482" hidden="1" customWidth="1"/>
    <col min="6168" max="6168" width="10.44140625" style="482" customWidth="1"/>
    <col min="6169" max="6400" width="8.88671875" style="482"/>
    <col min="6401" max="6401" width="63.5546875" style="482" bestFit="1" customWidth="1"/>
    <col min="6402" max="6402" width="10.6640625" style="482" bestFit="1" customWidth="1"/>
    <col min="6403" max="6413" width="0" style="482" hidden="1" customWidth="1"/>
    <col min="6414" max="6414" width="14.88671875" style="482" bestFit="1" customWidth="1"/>
    <col min="6415" max="6423" width="0" style="482" hidden="1" customWidth="1"/>
    <col min="6424" max="6424" width="10.44140625" style="482" customWidth="1"/>
    <col min="6425" max="6656" width="8.88671875" style="482"/>
    <col min="6657" max="6657" width="63.5546875" style="482" bestFit="1" customWidth="1"/>
    <col min="6658" max="6658" width="10.6640625" style="482" bestFit="1" customWidth="1"/>
    <col min="6659" max="6669" width="0" style="482" hidden="1" customWidth="1"/>
    <col min="6670" max="6670" width="14.88671875" style="482" bestFit="1" customWidth="1"/>
    <col min="6671" max="6679" width="0" style="482" hidden="1" customWidth="1"/>
    <col min="6680" max="6680" width="10.44140625" style="482" customWidth="1"/>
    <col min="6681" max="6912" width="8.88671875" style="482"/>
    <col min="6913" max="6913" width="63.5546875" style="482" bestFit="1" customWidth="1"/>
    <col min="6914" max="6914" width="10.6640625" style="482" bestFit="1" customWidth="1"/>
    <col min="6915" max="6925" width="0" style="482" hidden="1" customWidth="1"/>
    <col min="6926" max="6926" width="14.88671875" style="482" bestFit="1" customWidth="1"/>
    <col min="6927" max="6935" width="0" style="482" hidden="1" customWidth="1"/>
    <col min="6936" max="6936" width="10.44140625" style="482" customWidth="1"/>
    <col min="6937" max="7168" width="8.88671875" style="482"/>
    <col min="7169" max="7169" width="63.5546875" style="482" bestFit="1" customWidth="1"/>
    <col min="7170" max="7170" width="10.6640625" style="482" bestFit="1" customWidth="1"/>
    <col min="7171" max="7181" width="0" style="482" hidden="1" customWidth="1"/>
    <col min="7182" max="7182" width="14.88671875" style="482" bestFit="1" customWidth="1"/>
    <col min="7183" max="7191" width="0" style="482" hidden="1" customWidth="1"/>
    <col min="7192" max="7192" width="10.44140625" style="482" customWidth="1"/>
    <col min="7193" max="7424" width="8.88671875" style="482"/>
    <col min="7425" max="7425" width="63.5546875" style="482" bestFit="1" customWidth="1"/>
    <col min="7426" max="7426" width="10.6640625" style="482" bestFit="1" customWidth="1"/>
    <col min="7427" max="7437" width="0" style="482" hidden="1" customWidth="1"/>
    <col min="7438" max="7438" width="14.88671875" style="482" bestFit="1" customWidth="1"/>
    <col min="7439" max="7447" width="0" style="482" hidden="1" customWidth="1"/>
    <col min="7448" max="7448" width="10.44140625" style="482" customWidth="1"/>
    <col min="7449" max="7680" width="8.88671875" style="482"/>
    <col min="7681" max="7681" width="63.5546875" style="482" bestFit="1" customWidth="1"/>
    <col min="7682" max="7682" width="10.6640625" style="482" bestFit="1" customWidth="1"/>
    <col min="7683" max="7693" width="0" style="482" hidden="1" customWidth="1"/>
    <col min="7694" max="7694" width="14.88671875" style="482" bestFit="1" customWidth="1"/>
    <col min="7695" max="7703" width="0" style="482" hidden="1" customWidth="1"/>
    <col min="7704" max="7704" width="10.44140625" style="482" customWidth="1"/>
    <col min="7705" max="7936" width="8.88671875" style="482"/>
    <col min="7937" max="7937" width="63.5546875" style="482" bestFit="1" customWidth="1"/>
    <col min="7938" max="7938" width="10.6640625" style="482" bestFit="1" customWidth="1"/>
    <col min="7939" max="7949" width="0" style="482" hidden="1" customWidth="1"/>
    <col min="7950" max="7950" width="14.88671875" style="482" bestFit="1" customWidth="1"/>
    <col min="7951" max="7959" width="0" style="482" hidden="1" customWidth="1"/>
    <col min="7960" max="7960" width="10.44140625" style="482" customWidth="1"/>
    <col min="7961" max="8192" width="8.88671875" style="482"/>
    <col min="8193" max="8193" width="63.5546875" style="482" bestFit="1" customWidth="1"/>
    <col min="8194" max="8194" width="10.6640625" style="482" bestFit="1" customWidth="1"/>
    <col min="8195" max="8205" width="0" style="482" hidden="1" customWidth="1"/>
    <col min="8206" max="8206" width="14.88671875" style="482" bestFit="1" customWidth="1"/>
    <col min="8207" max="8215" width="0" style="482" hidden="1" customWidth="1"/>
    <col min="8216" max="8216" width="10.44140625" style="482" customWidth="1"/>
    <col min="8217" max="8448" width="8.88671875" style="482"/>
    <col min="8449" max="8449" width="63.5546875" style="482" bestFit="1" customWidth="1"/>
    <col min="8450" max="8450" width="10.6640625" style="482" bestFit="1" customWidth="1"/>
    <col min="8451" max="8461" width="0" style="482" hidden="1" customWidth="1"/>
    <col min="8462" max="8462" width="14.88671875" style="482" bestFit="1" customWidth="1"/>
    <col min="8463" max="8471" width="0" style="482" hidden="1" customWidth="1"/>
    <col min="8472" max="8472" width="10.44140625" style="482" customWidth="1"/>
    <col min="8473" max="8704" width="8.88671875" style="482"/>
    <col min="8705" max="8705" width="63.5546875" style="482" bestFit="1" customWidth="1"/>
    <col min="8706" max="8706" width="10.6640625" style="482" bestFit="1" customWidth="1"/>
    <col min="8707" max="8717" width="0" style="482" hidden="1" customWidth="1"/>
    <col min="8718" max="8718" width="14.88671875" style="482" bestFit="1" customWidth="1"/>
    <col min="8719" max="8727" width="0" style="482" hidden="1" customWidth="1"/>
    <col min="8728" max="8728" width="10.44140625" style="482" customWidth="1"/>
    <col min="8729" max="8960" width="8.88671875" style="482"/>
    <col min="8961" max="8961" width="63.5546875" style="482" bestFit="1" customWidth="1"/>
    <col min="8962" max="8962" width="10.6640625" style="482" bestFit="1" customWidth="1"/>
    <col min="8963" max="8973" width="0" style="482" hidden="1" customWidth="1"/>
    <col min="8974" max="8974" width="14.88671875" style="482" bestFit="1" customWidth="1"/>
    <col min="8975" max="8983" width="0" style="482" hidden="1" customWidth="1"/>
    <col min="8984" max="8984" width="10.44140625" style="482" customWidth="1"/>
    <col min="8985" max="9216" width="8.88671875" style="482"/>
    <col min="9217" max="9217" width="63.5546875" style="482" bestFit="1" customWidth="1"/>
    <col min="9218" max="9218" width="10.6640625" style="482" bestFit="1" customWidth="1"/>
    <col min="9219" max="9229" width="0" style="482" hidden="1" customWidth="1"/>
    <col min="9230" max="9230" width="14.88671875" style="482" bestFit="1" customWidth="1"/>
    <col min="9231" max="9239" width="0" style="482" hidden="1" customWidth="1"/>
    <col min="9240" max="9240" width="10.44140625" style="482" customWidth="1"/>
    <col min="9241" max="9472" width="8.88671875" style="482"/>
    <col min="9473" max="9473" width="63.5546875" style="482" bestFit="1" customWidth="1"/>
    <col min="9474" max="9474" width="10.6640625" style="482" bestFit="1" customWidth="1"/>
    <col min="9475" max="9485" width="0" style="482" hidden="1" customWidth="1"/>
    <col min="9486" max="9486" width="14.88671875" style="482" bestFit="1" customWidth="1"/>
    <col min="9487" max="9495" width="0" style="482" hidden="1" customWidth="1"/>
    <col min="9496" max="9496" width="10.44140625" style="482" customWidth="1"/>
    <col min="9497" max="9728" width="8.88671875" style="482"/>
    <col min="9729" max="9729" width="63.5546875" style="482" bestFit="1" customWidth="1"/>
    <col min="9730" max="9730" width="10.6640625" style="482" bestFit="1" customWidth="1"/>
    <col min="9731" max="9741" width="0" style="482" hidden="1" customWidth="1"/>
    <col min="9742" max="9742" width="14.88671875" style="482" bestFit="1" customWidth="1"/>
    <col min="9743" max="9751" width="0" style="482" hidden="1" customWidth="1"/>
    <col min="9752" max="9752" width="10.44140625" style="482" customWidth="1"/>
    <col min="9753" max="9984" width="8.88671875" style="482"/>
    <col min="9985" max="9985" width="63.5546875" style="482" bestFit="1" customWidth="1"/>
    <col min="9986" max="9986" width="10.6640625" style="482" bestFit="1" customWidth="1"/>
    <col min="9987" max="9997" width="0" style="482" hidden="1" customWidth="1"/>
    <col min="9998" max="9998" width="14.88671875" style="482" bestFit="1" customWidth="1"/>
    <col min="9999" max="10007" width="0" style="482" hidden="1" customWidth="1"/>
    <col min="10008" max="10008" width="10.44140625" style="482" customWidth="1"/>
    <col min="10009" max="10240" width="8.88671875" style="482"/>
    <col min="10241" max="10241" width="63.5546875" style="482" bestFit="1" customWidth="1"/>
    <col min="10242" max="10242" width="10.6640625" style="482" bestFit="1" customWidth="1"/>
    <col min="10243" max="10253" width="0" style="482" hidden="1" customWidth="1"/>
    <col min="10254" max="10254" width="14.88671875" style="482" bestFit="1" customWidth="1"/>
    <col min="10255" max="10263" width="0" style="482" hidden="1" customWidth="1"/>
    <col min="10264" max="10264" width="10.44140625" style="482" customWidth="1"/>
    <col min="10265" max="10496" width="8.88671875" style="482"/>
    <col min="10497" max="10497" width="63.5546875" style="482" bestFit="1" customWidth="1"/>
    <col min="10498" max="10498" width="10.6640625" style="482" bestFit="1" customWidth="1"/>
    <col min="10499" max="10509" width="0" style="482" hidden="1" customWidth="1"/>
    <col min="10510" max="10510" width="14.88671875" style="482" bestFit="1" customWidth="1"/>
    <col min="10511" max="10519" width="0" style="482" hidden="1" customWidth="1"/>
    <col min="10520" max="10520" width="10.44140625" style="482" customWidth="1"/>
    <col min="10521" max="10752" width="8.88671875" style="482"/>
    <col min="10753" max="10753" width="63.5546875" style="482" bestFit="1" customWidth="1"/>
    <col min="10754" max="10754" width="10.6640625" style="482" bestFit="1" customWidth="1"/>
    <col min="10755" max="10765" width="0" style="482" hidden="1" customWidth="1"/>
    <col min="10766" max="10766" width="14.88671875" style="482" bestFit="1" customWidth="1"/>
    <col min="10767" max="10775" width="0" style="482" hidden="1" customWidth="1"/>
    <col min="10776" max="10776" width="10.44140625" style="482" customWidth="1"/>
    <col min="10777" max="11008" width="8.88671875" style="482"/>
    <col min="11009" max="11009" width="63.5546875" style="482" bestFit="1" customWidth="1"/>
    <col min="11010" max="11010" width="10.6640625" style="482" bestFit="1" customWidth="1"/>
    <col min="11011" max="11021" width="0" style="482" hidden="1" customWidth="1"/>
    <col min="11022" max="11022" width="14.88671875" style="482" bestFit="1" customWidth="1"/>
    <col min="11023" max="11031" width="0" style="482" hidden="1" customWidth="1"/>
    <col min="11032" max="11032" width="10.44140625" style="482" customWidth="1"/>
    <col min="11033" max="11264" width="8.88671875" style="482"/>
    <col min="11265" max="11265" width="63.5546875" style="482" bestFit="1" customWidth="1"/>
    <col min="11266" max="11266" width="10.6640625" style="482" bestFit="1" customWidth="1"/>
    <col min="11267" max="11277" width="0" style="482" hidden="1" customWidth="1"/>
    <col min="11278" max="11278" width="14.88671875" style="482" bestFit="1" customWidth="1"/>
    <col min="11279" max="11287" width="0" style="482" hidden="1" customWidth="1"/>
    <col min="11288" max="11288" width="10.44140625" style="482" customWidth="1"/>
    <col min="11289" max="11520" width="8.88671875" style="482"/>
    <col min="11521" max="11521" width="63.5546875" style="482" bestFit="1" customWidth="1"/>
    <col min="11522" max="11522" width="10.6640625" style="482" bestFit="1" customWidth="1"/>
    <col min="11523" max="11533" width="0" style="482" hidden="1" customWidth="1"/>
    <col min="11534" max="11534" width="14.88671875" style="482" bestFit="1" customWidth="1"/>
    <col min="11535" max="11543" width="0" style="482" hidden="1" customWidth="1"/>
    <col min="11544" max="11544" width="10.44140625" style="482" customWidth="1"/>
    <col min="11545" max="11776" width="8.88671875" style="482"/>
    <col min="11777" max="11777" width="63.5546875" style="482" bestFit="1" customWidth="1"/>
    <col min="11778" max="11778" width="10.6640625" style="482" bestFit="1" customWidth="1"/>
    <col min="11779" max="11789" width="0" style="482" hidden="1" customWidth="1"/>
    <col min="11790" max="11790" width="14.88671875" style="482" bestFit="1" customWidth="1"/>
    <col min="11791" max="11799" width="0" style="482" hidden="1" customWidth="1"/>
    <col min="11800" max="11800" width="10.44140625" style="482" customWidth="1"/>
    <col min="11801" max="12032" width="8.88671875" style="482"/>
    <col min="12033" max="12033" width="63.5546875" style="482" bestFit="1" customWidth="1"/>
    <col min="12034" max="12034" width="10.6640625" style="482" bestFit="1" customWidth="1"/>
    <col min="12035" max="12045" width="0" style="482" hidden="1" customWidth="1"/>
    <col min="12046" max="12046" width="14.88671875" style="482" bestFit="1" customWidth="1"/>
    <col min="12047" max="12055" width="0" style="482" hidden="1" customWidth="1"/>
    <col min="12056" max="12056" width="10.44140625" style="482" customWidth="1"/>
    <col min="12057" max="12288" width="8.88671875" style="482"/>
    <col min="12289" max="12289" width="63.5546875" style="482" bestFit="1" customWidth="1"/>
    <col min="12290" max="12290" width="10.6640625" style="482" bestFit="1" customWidth="1"/>
    <col min="12291" max="12301" width="0" style="482" hidden="1" customWidth="1"/>
    <col min="12302" max="12302" width="14.88671875" style="482" bestFit="1" customWidth="1"/>
    <col min="12303" max="12311" width="0" style="482" hidden="1" customWidth="1"/>
    <col min="12312" max="12312" width="10.44140625" style="482" customWidth="1"/>
    <col min="12313" max="12544" width="8.88671875" style="482"/>
    <col min="12545" max="12545" width="63.5546875" style="482" bestFit="1" customWidth="1"/>
    <col min="12546" max="12546" width="10.6640625" style="482" bestFit="1" customWidth="1"/>
    <col min="12547" max="12557" width="0" style="482" hidden="1" customWidth="1"/>
    <col min="12558" max="12558" width="14.88671875" style="482" bestFit="1" customWidth="1"/>
    <col min="12559" max="12567" width="0" style="482" hidden="1" customWidth="1"/>
    <col min="12568" max="12568" width="10.44140625" style="482" customWidth="1"/>
    <col min="12569" max="12800" width="8.88671875" style="482"/>
    <col min="12801" max="12801" width="63.5546875" style="482" bestFit="1" customWidth="1"/>
    <col min="12802" max="12802" width="10.6640625" style="482" bestFit="1" customWidth="1"/>
    <col min="12803" max="12813" width="0" style="482" hidden="1" customWidth="1"/>
    <col min="12814" max="12814" width="14.88671875" style="482" bestFit="1" customWidth="1"/>
    <col min="12815" max="12823" width="0" style="482" hidden="1" customWidth="1"/>
    <col min="12824" max="12824" width="10.44140625" style="482" customWidth="1"/>
    <col min="12825" max="13056" width="8.88671875" style="482"/>
    <col min="13057" max="13057" width="63.5546875" style="482" bestFit="1" customWidth="1"/>
    <col min="13058" max="13058" width="10.6640625" style="482" bestFit="1" customWidth="1"/>
    <col min="13059" max="13069" width="0" style="482" hidden="1" customWidth="1"/>
    <col min="13070" max="13070" width="14.88671875" style="482" bestFit="1" customWidth="1"/>
    <col min="13071" max="13079" width="0" style="482" hidden="1" customWidth="1"/>
    <col min="13080" max="13080" width="10.44140625" style="482" customWidth="1"/>
    <col min="13081" max="13312" width="8.88671875" style="482"/>
    <col min="13313" max="13313" width="63.5546875" style="482" bestFit="1" customWidth="1"/>
    <col min="13314" max="13314" width="10.6640625" style="482" bestFit="1" customWidth="1"/>
    <col min="13315" max="13325" width="0" style="482" hidden="1" customWidth="1"/>
    <col min="13326" max="13326" width="14.88671875" style="482" bestFit="1" customWidth="1"/>
    <col min="13327" max="13335" width="0" style="482" hidden="1" customWidth="1"/>
    <col min="13336" max="13336" width="10.44140625" style="482" customWidth="1"/>
    <col min="13337" max="13568" width="8.88671875" style="482"/>
    <col min="13569" max="13569" width="63.5546875" style="482" bestFit="1" customWidth="1"/>
    <col min="13570" max="13570" width="10.6640625" style="482" bestFit="1" customWidth="1"/>
    <col min="13571" max="13581" width="0" style="482" hidden="1" customWidth="1"/>
    <col min="13582" max="13582" width="14.88671875" style="482" bestFit="1" customWidth="1"/>
    <col min="13583" max="13591" width="0" style="482" hidden="1" customWidth="1"/>
    <col min="13592" max="13592" width="10.44140625" style="482" customWidth="1"/>
    <col min="13593" max="13824" width="8.88671875" style="482"/>
    <col min="13825" max="13825" width="63.5546875" style="482" bestFit="1" customWidth="1"/>
    <col min="13826" max="13826" width="10.6640625" style="482" bestFit="1" customWidth="1"/>
    <col min="13827" max="13837" width="0" style="482" hidden="1" customWidth="1"/>
    <col min="13838" max="13838" width="14.88671875" style="482" bestFit="1" customWidth="1"/>
    <col min="13839" max="13847" width="0" style="482" hidden="1" customWidth="1"/>
    <col min="13848" max="13848" width="10.44140625" style="482" customWidth="1"/>
    <col min="13849" max="14080" width="8.88671875" style="482"/>
    <col min="14081" max="14081" width="63.5546875" style="482" bestFit="1" customWidth="1"/>
    <col min="14082" max="14082" width="10.6640625" style="482" bestFit="1" customWidth="1"/>
    <col min="14083" max="14093" width="0" style="482" hidden="1" customWidth="1"/>
    <col min="14094" max="14094" width="14.88671875" style="482" bestFit="1" customWidth="1"/>
    <col min="14095" max="14103" width="0" style="482" hidden="1" customWidth="1"/>
    <col min="14104" max="14104" width="10.44140625" style="482" customWidth="1"/>
    <col min="14105" max="14336" width="8.88671875" style="482"/>
    <col min="14337" max="14337" width="63.5546875" style="482" bestFit="1" customWidth="1"/>
    <col min="14338" max="14338" width="10.6640625" style="482" bestFit="1" customWidth="1"/>
    <col min="14339" max="14349" width="0" style="482" hidden="1" customWidth="1"/>
    <col min="14350" max="14350" width="14.88671875" style="482" bestFit="1" customWidth="1"/>
    <col min="14351" max="14359" width="0" style="482" hidden="1" customWidth="1"/>
    <col min="14360" max="14360" width="10.44140625" style="482" customWidth="1"/>
    <col min="14361" max="14592" width="8.88671875" style="482"/>
    <col min="14593" max="14593" width="63.5546875" style="482" bestFit="1" customWidth="1"/>
    <col min="14594" max="14594" width="10.6640625" style="482" bestFit="1" customWidth="1"/>
    <col min="14595" max="14605" width="0" style="482" hidden="1" customWidth="1"/>
    <col min="14606" max="14606" width="14.88671875" style="482" bestFit="1" customWidth="1"/>
    <col min="14607" max="14615" width="0" style="482" hidden="1" customWidth="1"/>
    <col min="14616" max="14616" width="10.44140625" style="482" customWidth="1"/>
    <col min="14617" max="14848" width="8.88671875" style="482"/>
    <col min="14849" max="14849" width="63.5546875" style="482" bestFit="1" customWidth="1"/>
    <col min="14850" max="14850" width="10.6640625" style="482" bestFit="1" customWidth="1"/>
    <col min="14851" max="14861" width="0" style="482" hidden="1" customWidth="1"/>
    <col min="14862" max="14862" width="14.88671875" style="482" bestFit="1" customWidth="1"/>
    <col min="14863" max="14871" width="0" style="482" hidden="1" customWidth="1"/>
    <col min="14872" max="14872" width="10.44140625" style="482" customWidth="1"/>
    <col min="14873" max="15104" width="8.88671875" style="482"/>
    <col min="15105" max="15105" width="63.5546875" style="482" bestFit="1" customWidth="1"/>
    <col min="15106" max="15106" width="10.6640625" style="482" bestFit="1" customWidth="1"/>
    <col min="15107" max="15117" width="0" style="482" hidden="1" customWidth="1"/>
    <col min="15118" max="15118" width="14.88671875" style="482" bestFit="1" customWidth="1"/>
    <col min="15119" max="15127" width="0" style="482" hidden="1" customWidth="1"/>
    <col min="15128" max="15128" width="10.44140625" style="482" customWidth="1"/>
    <col min="15129" max="15360" width="8.88671875" style="482"/>
    <col min="15361" max="15361" width="63.5546875" style="482" bestFit="1" customWidth="1"/>
    <col min="15362" max="15362" width="10.6640625" style="482" bestFit="1" customWidth="1"/>
    <col min="15363" max="15373" width="0" style="482" hidden="1" customWidth="1"/>
    <col min="15374" max="15374" width="14.88671875" style="482" bestFit="1" customWidth="1"/>
    <col min="15375" max="15383" width="0" style="482" hidden="1" customWidth="1"/>
    <col min="15384" max="15384" width="10.44140625" style="482" customWidth="1"/>
    <col min="15385" max="15616" width="8.88671875" style="482"/>
    <col min="15617" max="15617" width="63.5546875" style="482" bestFit="1" customWidth="1"/>
    <col min="15618" max="15618" width="10.6640625" style="482" bestFit="1" customWidth="1"/>
    <col min="15619" max="15629" width="0" style="482" hidden="1" customWidth="1"/>
    <col min="15630" max="15630" width="14.88671875" style="482" bestFit="1" customWidth="1"/>
    <col min="15631" max="15639" width="0" style="482" hidden="1" customWidth="1"/>
    <col min="15640" max="15640" width="10.44140625" style="482" customWidth="1"/>
    <col min="15641" max="15872" width="8.88671875" style="482"/>
    <col min="15873" max="15873" width="63.5546875" style="482" bestFit="1" customWidth="1"/>
    <col min="15874" max="15874" width="10.6640625" style="482" bestFit="1" customWidth="1"/>
    <col min="15875" max="15885" width="0" style="482" hidden="1" customWidth="1"/>
    <col min="15886" max="15886" width="14.88671875" style="482" bestFit="1" customWidth="1"/>
    <col min="15887" max="15895" width="0" style="482" hidden="1" customWidth="1"/>
    <col min="15896" max="15896" width="10.44140625" style="482" customWidth="1"/>
    <col min="15897" max="16128" width="8.88671875" style="482"/>
    <col min="16129" max="16129" width="63.5546875" style="482" bestFit="1" customWidth="1"/>
    <col min="16130" max="16130" width="10.6640625" style="482" bestFit="1" customWidth="1"/>
    <col min="16131" max="16141" width="0" style="482" hidden="1" customWidth="1"/>
    <col min="16142" max="16142" width="14.88671875" style="482" bestFit="1" customWidth="1"/>
    <col min="16143" max="16151" width="0" style="482" hidden="1" customWidth="1"/>
    <col min="16152" max="16152" width="10.44140625" style="482" customWidth="1"/>
    <col min="16153" max="16384" width="8.88671875" style="482"/>
  </cols>
  <sheetData>
    <row r="1" spans="1:19" s="471" customFormat="1" ht="16.2">
      <c r="A1" s="579" t="s">
        <v>303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P1" s="472"/>
      <c r="Q1" s="473"/>
      <c r="R1" s="474"/>
      <c r="S1" s="475"/>
    </row>
    <row r="2" spans="1:19" s="471" customFormat="1" ht="15.6">
      <c r="A2" s="581" t="s">
        <v>326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P2" s="472"/>
      <c r="Q2" s="476"/>
      <c r="R2" s="477"/>
      <c r="S2" s="475"/>
    </row>
    <row r="3" spans="1:19" s="471" customFormat="1" ht="15.6">
      <c r="A3" s="577" t="str">
        <f>R4</f>
        <v>May 2017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P3" s="472"/>
      <c r="Q3" s="476"/>
      <c r="R3" s="477"/>
      <c r="S3" s="475"/>
    </row>
    <row r="4" spans="1:19" s="471" customFormat="1">
      <c r="A4" s="478"/>
      <c r="B4" s="465"/>
      <c r="C4" s="465"/>
      <c r="D4" s="465"/>
      <c r="E4" s="465"/>
      <c r="F4" s="465"/>
      <c r="G4" s="465"/>
      <c r="H4" s="479"/>
      <c r="I4" s="479"/>
      <c r="J4" s="479"/>
      <c r="K4" s="446"/>
      <c r="L4" s="446"/>
      <c r="M4" s="446"/>
      <c r="N4" s="446"/>
      <c r="P4" s="472"/>
      <c r="Q4" s="476" t="s">
        <v>400</v>
      </c>
      <c r="R4" s="477" t="str">
        <f>TEXT(S4,"mmmm yyyy")</f>
        <v>May 2017</v>
      </c>
      <c r="S4" s="453">
        <v>42886</v>
      </c>
    </row>
    <row r="5" spans="1:19" ht="15.6">
      <c r="A5" s="122"/>
      <c r="B5" s="107"/>
      <c r="C5" s="107"/>
      <c r="D5" s="107"/>
      <c r="E5" s="107"/>
      <c r="F5" s="107"/>
      <c r="G5" s="107"/>
      <c r="H5" s="124"/>
      <c r="I5" s="124"/>
      <c r="J5" s="124"/>
      <c r="K5" s="107"/>
      <c r="L5" s="107"/>
      <c r="M5" s="107"/>
      <c r="N5" s="107"/>
      <c r="Q5" s="476" t="s">
        <v>407</v>
      </c>
      <c r="R5" s="477" t="str">
        <f>S5</f>
        <v>.</v>
      </c>
      <c r="S5" s="449" t="s">
        <v>402</v>
      </c>
    </row>
    <row r="6" spans="1:19" ht="15.6">
      <c r="A6" s="122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76" t="s">
        <v>403</v>
      </c>
      <c r="R6" s="477" t="str">
        <f>S6</f>
        <v>2017</v>
      </c>
      <c r="S6" s="449" t="s">
        <v>404</v>
      </c>
    </row>
    <row r="7" spans="1:19" s="484" customFormat="1" ht="16.2" thickBot="1">
      <c r="A7" s="123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P7" s="483"/>
      <c r="Q7" s="485" t="s">
        <v>405</v>
      </c>
      <c r="R7" s="477" t="str">
        <f>TEXT(S7,"mmmm-dd-yyyy")</f>
        <v>May-31-2017</v>
      </c>
      <c r="S7" s="453">
        <f>S4</f>
        <v>42886</v>
      </c>
    </row>
    <row r="8" spans="1:19" ht="16.2" thickTop="1">
      <c r="A8" s="122"/>
      <c r="B8" s="107"/>
      <c r="C8" s="107"/>
      <c r="D8" s="107"/>
      <c r="E8" s="107"/>
      <c r="F8" s="107"/>
      <c r="G8" s="107"/>
      <c r="H8" s="124"/>
      <c r="I8" s="125"/>
      <c r="J8" s="125"/>
      <c r="K8" s="107"/>
      <c r="L8" s="107"/>
      <c r="M8" s="107"/>
      <c r="N8" s="107"/>
      <c r="Q8" s="485" t="s">
        <v>405</v>
      </c>
      <c r="R8" s="477" t="str">
        <f>TEXT(S8,"mm/dd/yy")</f>
        <v>05/31/17</v>
      </c>
      <c r="S8" s="453">
        <f>S4</f>
        <v>42886</v>
      </c>
    </row>
    <row r="9" spans="1:19" ht="16.2" thickBot="1">
      <c r="A9" s="534" t="s">
        <v>320</v>
      </c>
      <c r="B9" s="112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>B9</f>
        <v>0</v>
      </c>
      <c r="Q9" s="476" t="s">
        <v>403</v>
      </c>
      <c r="R9" s="477">
        <f>S9</f>
        <v>17</v>
      </c>
      <c r="S9" s="449">
        <v>17</v>
      </c>
    </row>
    <row r="10" spans="1:19" ht="15.6">
      <c r="A10" s="122"/>
      <c r="B10" s="107"/>
      <c r="C10" s="107"/>
      <c r="D10" s="107"/>
      <c r="E10" s="107"/>
      <c r="F10" s="107"/>
      <c r="G10" s="107"/>
      <c r="H10" s="124"/>
      <c r="I10" s="124"/>
      <c r="J10" s="124"/>
      <c r="K10" s="107"/>
      <c r="L10" s="107"/>
      <c r="M10" s="107"/>
      <c r="N10" s="107"/>
      <c r="Q10" s="524" t="s">
        <v>406</v>
      </c>
      <c r="R10" s="525" t="str">
        <f>"0"&amp;S10</f>
        <v>016</v>
      </c>
      <c r="S10" s="449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24"/>
      <c r="I11" s="124"/>
      <c r="J11" s="124"/>
      <c r="K11" s="107"/>
      <c r="L11" s="107"/>
      <c r="M11" s="107"/>
      <c r="N11" s="107"/>
    </row>
    <row r="12" spans="1:19" ht="15.6">
      <c r="A12" s="122"/>
      <c r="B12" s="107"/>
      <c r="C12" s="107"/>
      <c r="D12" s="107"/>
      <c r="E12" s="107"/>
      <c r="F12" s="107"/>
      <c r="G12" s="107"/>
      <c r="H12" s="124"/>
      <c r="I12" s="124"/>
      <c r="J12" s="124"/>
      <c r="K12" s="107"/>
      <c r="L12" s="107"/>
      <c r="M12" s="107"/>
      <c r="N12" s="107"/>
    </row>
    <row r="13" spans="1:19" ht="15.6">
      <c r="A13" s="128" t="s">
        <v>418</v>
      </c>
      <c r="B13" s="121"/>
      <c r="C13" s="127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>
        <f t="shared" ref="N13:N18" si="1">ROUND(SUM(B13:M13),0)</f>
        <v>0</v>
      </c>
    </row>
    <row r="14" spans="1:19" ht="15.6">
      <c r="A14" s="122" t="s">
        <v>422</v>
      </c>
      <c r="B14" s="121"/>
      <c r="C14" s="127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>
        <f t="shared" si="1"/>
        <v>0</v>
      </c>
    </row>
    <row r="15" spans="1:19" ht="15.6">
      <c r="A15" s="122" t="s">
        <v>419</v>
      </c>
      <c r="B15" s="121"/>
      <c r="C15" s="127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>
        <f t="shared" si="1"/>
        <v>0</v>
      </c>
    </row>
    <row r="16" spans="1:19" s="488" customFormat="1" ht="15.6">
      <c r="A16" s="134" t="s">
        <v>327</v>
      </c>
      <c r="B16" s="135">
        <v>5229.87</v>
      </c>
      <c r="C16" s="136">
        <v>61847.009999999995</v>
      </c>
      <c r="D16" s="135">
        <v>55978.36</v>
      </c>
      <c r="E16" s="135">
        <v>54152.05</v>
      </c>
      <c r="F16" s="135">
        <v>54917.69</v>
      </c>
      <c r="G16" s="135">
        <v>51435.829999999994</v>
      </c>
      <c r="H16" s="135">
        <v>48964.46</v>
      </c>
      <c r="I16" s="135">
        <v>160718</v>
      </c>
      <c r="J16" s="135">
        <v>65782.52</v>
      </c>
      <c r="K16" s="135"/>
      <c r="L16" s="135"/>
      <c r="M16" s="135"/>
      <c r="N16" s="121">
        <f t="shared" si="1"/>
        <v>559026</v>
      </c>
      <c r="P16" s="489"/>
    </row>
    <row r="17" spans="1:14" ht="15.6">
      <c r="A17" s="128" t="s">
        <v>420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>
        <f t="shared" si="1"/>
        <v>0</v>
      </c>
    </row>
    <row r="18" spans="1:14" ht="15.6">
      <c r="A18" s="126" t="s">
        <v>421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>
        <f t="shared" si="1"/>
        <v>0</v>
      </c>
    </row>
    <row r="19" spans="1:14" ht="15.6">
      <c r="A19" s="122"/>
      <c r="B19" s="107"/>
      <c r="C19" s="107"/>
      <c r="D19" s="107"/>
      <c r="E19" s="107"/>
      <c r="F19" s="107"/>
      <c r="G19" s="107"/>
      <c r="H19" s="124"/>
      <c r="I19" s="124"/>
      <c r="J19" s="124"/>
      <c r="K19" s="107"/>
      <c r="L19" s="107"/>
      <c r="M19" s="107"/>
      <c r="N19" s="107"/>
    </row>
    <row r="20" spans="1:14" ht="15.6">
      <c r="A20" s="122"/>
      <c r="B20" s="107"/>
      <c r="C20" s="107"/>
      <c r="D20" s="107"/>
      <c r="E20" s="107"/>
      <c r="F20" s="107"/>
      <c r="G20" s="107"/>
      <c r="H20" s="124"/>
      <c r="I20" s="124"/>
      <c r="J20" s="124"/>
      <c r="K20" s="107"/>
      <c r="L20" s="107"/>
      <c r="M20" s="107"/>
      <c r="N20" s="107"/>
    </row>
    <row r="21" spans="1:14" ht="15.6">
      <c r="A21" s="108" t="s">
        <v>295</v>
      </c>
      <c r="B21" s="116">
        <f>ROUND((SUM(B13:B20)),0)</f>
        <v>5230</v>
      </c>
      <c r="C21" s="116">
        <f t="shared" ref="C21:M21" si="2">ROUND((SUM(C13:C20)),0)</f>
        <v>61847</v>
      </c>
      <c r="D21" s="116">
        <f t="shared" si="2"/>
        <v>55978</v>
      </c>
      <c r="E21" s="116">
        <f t="shared" si="2"/>
        <v>54152</v>
      </c>
      <c r="F21" s="116">
        <f t="shared" si="2"/>
        <v>54918</v>
      </c>
      <c r="G21" s="116">
        <f t="shared" si="2"/>
        <v>51436</v>
      </c>
      <c r="H21" s="116">
        <f t="shared" si="2"/>
        <v>48964</v>
      </c>
      <c r="I21" s="116">
        <f t="shared" si="2"/>
        <v>160718</v>
      </c>
      <c r="J21" s="116">
        <f t="shared" si="2"/>
        <v>65783</v>
      </c>
      <c r="K21" s="116">
        <f t="shared" si="2"/>
        <v>0</v>
      </c>
      <c r="L21" s="116">
        <f t="shared" si="2"/>
        <v>0</v>
      </c>
      <c r="M21" s="116">
        <f t="shared" si="2"/>
        <v>0</v>
      </c>
      <c r="N21" s="116">
        <f>ROUND((SUM(N13:N20)),0)</f>
        <v>559026</v>
      </c>
    </row>
    <row r="22" spans="1:14" ht="15.6">
      <c r="A22" s="122"/>
      <c r="B22" s="107"/>
      <c r="C22" s="107"/>
      <c r="D22" s="107"/>
      <c r="E22" s="107"/>
      <c r="F22" s="107"/>
      <c r="G22" s="107"/>
      <c r="H22" s="130"/>
      <c r="I22" s="130"/>
      <c r="J22" s="130"/>
      <c r="K22" s="107"/>
      <c r="L22" s="107"/>
      <c r="M22" s="107"/>
      <c r="N22" s="107"/>
    </row>
    <row r="23" spans="1:14" ht="15.6">
      <c r="A23" s="106" t="s">
        <v>294</v>
      </c>
      <c r="B23" s="107"/>
      <c r="C23" s="107"/>
      <c r="D23" s="107"/>
      <c r="E23" s="107"/>
      <c r="F23" s="107"/>
      <c r="G23" s="107"/>
      <c r="H23" s="130"/>
      <c r="I23" s="130"/>
      <c r="J23" s="130"/>
      <c r="K23" s="107"/>
      <c r="L23" s="107"/>
      <c r="M23" s="107"/>
      <c r="N23" s="107"/>
    </row>
    <row r="24" spans="1:14" ht="15.6">
      <c r="A24" s="131"/>
      <c r="B24" s="107"/>
      <c r="C24" s="107"/>
      <c r="D24" s="107"/>
      <c r="E24" s="107"/>
      <c r="F24" s="107"/>
      <c r="G24" s="107"/>
      <c r="H24" s="130"/>
      <c r="I24" s="130"/>
      <c r="J24" s="130"/>
      <c r="K24" s="107"/>
      <c r="L24" s="107"/>
      <c r="M24" s="107"/>
      <c r="N24" s="107"/>
    </row>
    <row r="25" spans="1:14" ht="15.6">
      <c r="A25" s="120" t="s">
        <v>328</v>
      </c>
      <c r="B25" s="107">
        <f>ROUND(-B21,0)</f>
        <v>-5230</v>
      </c>
      <c r="C25" s="107">
        <f t="shared" ref="C25:M25" si="3">ROUND(-C21,0)</f>
        <v>-61847</v>
      </c>
      <c r="D25" s="107">
        <f t="shared" si="3"/>
        <v>-55978</v>
      </c>
      <c r="E25" s="107">
        <f t="shared" si="3"/>
        <v>-54152</v>
      </c>
      <c r="F25" s="107">
        <f t="shared" si="3"/>
        <v>-54918</v>
      </c>
      <c r="G25" s="107">
        <f t="shared" si="3"/>
        <v>-51436</v>
      </c>
      <c r="H25" s="107">
        <f t="shared" si="3"/>
        <v>-48964</v>
      </c>
      <c r="I25" s="107">
        <f t="shared" si="3"/>
        <v>-160718</v>
      </c>
      <c r="J25" s="107">
        <f t="shared" si="3"/>
        <v>-65783</v>
      </c>
      <c r="K25" s="107">
        <f t="shared" si="3"/>
        <v>0</v>
      </c>
      <c r="L25" s="107">
        <f t="shared" si="3"/>
        <v>0</v>
      </c>
      <c r="M25" s="107">
        <f t="shared" si="3"/>
        <v>0</v>
      </c>
      <c r="N25" s="107">
        <f>ROUND(SUM(B25:M25),0)</f>
        <v>-559026</v>
      </c>
    </row>
    <row r="26" spans="1:14" ht="15.6">
      <c r="A26" s="131"/>
      <c r="B26" s="107"/>
      <c r="C26" s="107"/>
      <c r="D26" s="107"/>
      <c r="E26" s="107"/>
      <c r="F26" s="107"/>
      <c r="G26" s="107"/>
      <c r="H26" s="130"/>
      <c r="I26" s="130"/>
      <c r="J26" s="130"/>
      <c r="K26" s="107"/>
      <c r="L26" s="107"/>
      <c r="M26" s="107"/>
      <c r="N26" s="107"/>
    </row>
    <row r="27" spans="1:14" ht="15.6">
      <c r="A27" s="131"/>
      <c r="B27" s="107"/>
      <c r="C27" s="107"/>
      <c r="D27" s="107"/>
      <c r="E27" s="107"/>
      <c r="F27" s="107"/>
      <c r="G27" s="107"/>
      <c r="H27" s="130"/>
      <c r="I27" s="130"/>
      <c r="J27" s="130"/>
      <c r="K27" s="107"/>
      <c r="L27" s="107"/>
      <c r="M27" s="107"/>
      <c r="N27" s="107"/>
    </row>
    <row r="28" spans="1:14" ht="15.6">
      <c r="A28" s="106" t="s">
        <v>292</v>
      </c>
      <c r="B28" s="116">
        <f>ROUND(SUM(B24:B27),0)</f>
        <v>-5230</v>
      </c>
      <c r="C28" s="116">
        <f t="shared" ref="C28:F28" si="4">ROUND(SUM(C24:C27),0)</f>
        <v>-61847</v>
      </c>
      <c r="D28" s="116">
        <f t="shared" si="4"/>
        <v>-55978</v>
      </c>
      <c r="E28" s="116">
        <f t="shared" si="4"/>
        <v>-54152</v>
      </c>
      <c r="F28" s="116">
        <f t="shared" si="4"/>
        <v>-54918</v>
      </c>
      <c r="G28" s="116">
        <f t="shared" ref="G28:M28" si="5">SUM(G24:G27)</f>
        <v>-51436</v>
      </c>
      <c r="H28" s="116">
        <f t="shared" si="5"/>
        <v>-48964</v>
      </c>
      <c r="I28" s="116">
        <f t="shared" si="5"/>
        <v>-160718</v>
      </c>
      <c r="J28" s="116">
        <f t="shared" si="5"/>
        <v>-65783</v>
      </c>
      <c r="K28" s="116">
        <f t="shared" si="5"/>
        <v>0</v>
      </c>
      <c r="L28" s="116">
        <f t="shared" si="5"/>
        <v>0</v>
      </c>
      <c r="M28" s="116">
        <f t="shared" si="5"/>
        <v>0</v>
      </c>
      <c r="N28" s="116">
        <f>SUM(N24:N27)</f>
        <v>-559026</v>
      </c>
    </row>
    <row r="29" spans="1:14" ht="15.6">
      <c r="A29" s="122"/>
      <c r="B29" s="107"/>
      <c r="C29" s="107"/>
      <c r="D29" s="107"/>
      <c r="E29" s="107"/>
      <c r="F29" s="107"/>
      <c r="G29" s="107"/>
      <c r="H29" s="130"/>
      <c r="I29" s="130"/>
      <c r="J29" s="130"/>
      <c r="K29" s="107"/>
      <c r="L29" s="107"/>
      <c r="M29" s="107"/>
      <c r="N29" s="107"/>
    </row>
    <row r="30" spans="1:14" ht="16.2" thickBot="1">
      <c r="A30" s="550" t="s">
        <v>291</v>
      </c>
      <c r="B30" s="549">
        <f>ROUND(+B9+B21+B28,0)</f>
        <v>0</v>
      </c>
      <c r="C30" s="549">
        <f t="shared" ref="C30:M30" si="6">ROUND(+C9+C21+C28,0)</f>
        <v>0</v>
      </c>
      <c r="D30" s="549">
        <f t="shared" si="6"/>
        <v>0</v>
      </c>
      <c r="E30" s="549">
        <f t="shared" si="6"/>
        <v>0</v>
      </c>
      <c r="F30" s="549">
        <f t="shared" si="6"/>
        <v>0</v>
      </c>
      <c r="G30" s="549">
        <f t="shared" si="6"/>
        <v>0</v>
      </c>
      <c r="H30" s="549">
        <f t="shared" si="6"/>
        <v>0</v>
      </c>
      <c r="I30" s="549">
        <f t="shared" si="6"/>
        <v>0</v>
      </c>
      <c r="J30" s="549">
        <f t="shared" si="6"/>
        <v>0</v>
      </c>
      <c r="K30" s="549">
        <f t="shared" si="6"/>
        <v>0</v>
      </c>
      <c r="L30" s="549">
        <f t="shared" si="6"/>
        <v>0</v>
      </c>
      <c r="M30" s="549">
        <f t="shared" si="6"/>
        <v>0</v>
      </c>
      <c r="N30" s="549">
        <f>ROUND(+N9+N21+N28,0)</f>
        <v>0</v>
      </c>
    </row>
    <row r="31" spans="1:14" ht="16.2" thickTop="1">
      <c r="A31" s="13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5.6">
      <c r="A32" s="13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5.6">
      <c r="A33" s="101" t="s">
        <v>329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.6">
      <c r="A34" s="13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.6">
      <c r="A35" s="132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6">
      <c r="A36" s="132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5.6">
      <c r="A37" s="132"/>
      <c r="B37" s="101"/>
      <c r="C37" s="133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.6">
      <c r="A38" s="132"/>
      <c r="B38" s="101"/>
      <c r="C38" s="133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5.6">
      <c r="A39" s="132"/>
      <c r="B39" s="101"/>
      <c r="C39" s="133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>
      <c r="C40" s="487"/>
    </row>
    <row r="41" spans="1:14">
      <c r="C41" s="487"/>
    </row>
    <row r="42" spans="1:14">
      <c r="C42" s="487"/>
    </row>
    <row r="43" spans="1:14">
      <c r="C43" s="487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30"/>
  <sheetViews>
    <sheetView zoomScale="85" zoomScaleNormal="85" zoomScaleSheetLayoutView="85" workbookViewId="0">
      <selection activeCell="A29" sqref="A29"/>
    </sheetView>
  </sheetViews>
  <sheetFormatPr defaultRowHeight="13.2"/>
  <cols>
    <col min="1" max="1" width="51.109375" style="497" bestFit="1" customWidth="1"/>
    <col min="2" max="2" width="11.44140625" style="467" hidden="1" customWidth="1"/>
    <col min="3" max="3" width="12" style="467" hidden="1" customWidth="1"/>
    <col min="4" max="5" width="12.21875" style="467" hidden="1" customWidth="1"/>
    <col min="6" max="7" width="12" style="467" hidden="1" customWidth="1"/>
    <col min="8" max="8" width="12.5546875" style="467" hidden="1" customWidth="1"/>
    <col min="9" max="9" width="12.21875" style="467" hidden="1" customWidth="1"/>
    <col min="10" max="10" width="12.6640625" style="467" customWidth="1"/>
    <col min="11" max="11" width="12.21875" style="467" hidden="1" customWidth="1"/>
    <col min="12" max="12" width="11.5546875" style="467" hidden="1" customWidth="1"/>
    <col min="13" max="13" width="12.5546875" style="467" hidden="1" customWidth="1"/>
    <col min="14" max="14" width="17.21875" style="467" bestFit="1" customWidth="1"/>
    <col min="15" max="16" width="22.21875" style="497" customWidth="1"/>
    <col min="17" max="17" width="18" style="497" hidden="1" customWidth="1"/>
    <col min="18" max="18" width="15.44140625" style="497" hidden="1" customWidth="1"/>
    <col min="19" max="19" width="10.44140625" style="497" hidden="1" customWidth="1"/>
    <col min="20" max="21" width="22.21875" style="497" customWidth="1"/>
    <col min="22" max="23" width="12.6640625" style="497" customWidth="1"/>
    <col min="24" max="24" width="13.33203125" style="497" customWidth="1"/>
    <col min="25" max="256" width="8.88671875" style="497"/>
    <col min="257" max="257" width="46.21875" style="497" bestFit="1" customWidth="1"/>
    <col min="258" max="258" width="9.6640625" style="497" bestFit="1" customWidth="1"/>
    <col min="259" max="269" width="0" style="497" hidden="1" customWidth="1"/>
    <col min="270" max="270" width="17.44140625" style="497" customWidth="1"/>
    <col min="271" max="279" width="0" style="497" hidden="1" customWidth="1"/>
    <col min="280" max="512" width="8.88671875" style="497"/>
    <col min="513" max="513" width="46.21875" style="497" bestFit="1" customWidth="1"/>
    <col min="514" max="514" width="9.6640625" style="497" bestFit="1" customWidth="1"/>
    <col min="515" max="525" width="0" style="497" hidden="1" customWidth="1"/>
    <col min="526" max="526" width="17.44140625" style="497" customWidth="1"/>
    <col min="527" max="535" width="0" style="497" hidden="1" customWidth="1"/>
    <col min="536" max="768" width="8.88671875" style="497"/>
    <col min="769" max="769" width="46.21875" style="497" bestFit="1" customWidth="1"/>
    <col min="770" max="770" width="9.6640625" style="497" bestFit="1" customWidth="1"/>
    <col min="771" max="781" width="0" style="497" hidden="1" customWidth="1"/>
    <col min="782" max="782" width="17.44140625" style="497" customWidth="1"/>
    <col min="783" max="791" width="0" style="497" hidden="1" customWidth="1"/>
    <col min="792" max="1024" width="8.88671875" style="497"/>
    <col min="1025" max="1025" width="46.21875" style="497" bestFit="1" customWidth="1"/>
    <col min="1026" max="1026" width="9.6640625" style="497" bestFit="1" customWidth="1"/>
    <col min="1027" max="1037" width="0" style="497" hidden="1" customWidth="1"/>
    <col min="1038" max="1038" width="17.44140625" style="497" customWidth="1"/>
    <col min="1039" max="1047" width="0" style="497" hidden="1" customWidth="1"/>
    <col min="1048" max="1280" width="8.88671875" style="497"/>
    <col min="1281" max="1281" width="46.21875" style="497" bestFit="1" customWidth="1"/>
    <col min="1282" max="1282" width="9.6640625" style="497" bestFit="1" customWidth="1"/>
    <col min="1283" max="1293" width="0" style="497" hidden="1" customWidth="1"/>
    <col min="1294" max="1294" width="17.44140625" style="497" customWidth="1"/>
    <col min="1295" max="1303" width="0" style="497" hidden="1" customWidth="1"/>
    <col min="1304" max="1536" width="8.88671875" style="497"/>
    <col min="1537" max="1537" width="46.21875" style="497" bestFit="1" customWidth="1"/>
    <col min="1538" max="1538" width="9.6640625" style="497" bestFit="1" customWidth="1"/>
    <col min="1539" max="1549" width="0" style="497" hidden="1" customWidth="1"/>
    <col min="1550" max="1550" width="17.44140625" style="497" customWidth="1"/>
    <col min="1551" max="1559" width="0" style="497" hidden="1" customWidth="1"/>
    <col min="1560" max="1792" width="8.88671875" style="497"/>
    <col min="1793" max="1793" width="46.21875" style="497" bestFit="1" customWidth="1"/>
    <col min="1794" max="1794" width="9.6640625" style="497" bestFit="1" customWidth="1"/>
    <col min="1795" max="1805" width="0" style="497" hidden="1" customWidth="1"/>
    <col min="1806" max="1806" width="17.44140625" style="497" customWidth="1"/>
    <col min="1807" max="1815" width="0" style="497" hidden="1" customWidth="1"/>
    <col min="1816" max="2048" width="8.88671875" style="497"/>
    <col min="2049" max="2049" width="46.21875" style="497" bestFit="1" customWidth="1"/>
    <col min="2050" max="2050" width="9.6640625" style="497" bestFit="1" customWidth="1"/>
    <col min="2051" max="2061" width="0" style="497" hidden="1" customWidth="1"/>
    <col min="2062" max="2062" width="17.44140625" style="497" customWidth="1"/>
    <col min="2063" max="2071" width="0" style="497" hidden="1" customWidth="1"/>
    <col min="2072" max="2304" width="8.88671875" style="497"/>
    <col min="2305" max="2305" width="46.21875" style="497" bestFit="1" customWidth="1"/>
    <col min="2306" max="2306" width="9.6640625" style="497" bestFit="1" customWidth="1"/>
    <col min="2307" max="2317" width="0" style="497" hidden="1" customWidth="1"/>
    <col min="2318" max="2318" width="17.44140625" style="497" customWidth="1"/>
    <col min="2319" max="2327" width="0" style="497" hidden="1" customWidth="1"/>
    <col min="2328" max="2560" width="8.88671875" style="497"/>
    <col min="2561" max="2561" width="46.21875" style="497" bestFit="1" customWidth="1"/>
    <col min="2562" max="2562" width="9.6640625" style="497" bestFit="1" customWidth="1"/>
    <col min="2563" max="2573" width="0" style="497" hidden="1" customWidth="1"/>
    <col min="2574" max="2574" width="17.44140625" style="497" customWidth="1"/>
    <col min="2575" max="2583" width="0" style="497" hidden="1" customWidth="1"/>
    <col min="2584" max="2816" width="8.88671875" style="497"/>
    <col min="2817" max="2817" width="46.21875" style="497" bestFit="1" customWidth="1"/>
    <col min="2818" max="2818" width="9.6640625" style="497" bestFit="1" customWidth="1"/>
    <col min="2819" max="2829" width="0" style="497" hidden="1" customWidth="1"/>
    <col min="2830" max="2830" width="17.44140625" style="497" customWidth="1"/>
    <col min="2831" max="2839" width="0" style="497" hidden="1" customWidth="1"/>
    <col min="2840" max="3072" width="8.88671875" style="497"/>
    <col min="3073" max="3073" width="46.21875" style="497" bestFit="1" customWidth="1"/>
    <col min="3074" max="3074" width="9.6640625" style="497" bestFit="1" customWidth="1"/>
    <col min="3075" max="3085" width="0" style="497" hidden="1" customWidth="1"/>
    <col min="3086" max="3086" width="17.44140625" style="497" customWidth="1"/>
    <col min="3087" max="3095" width="0" style="497" hidden="1" customWidth="1"/>
    <col min="3096" max="3328" width="8.88671875" style="497"/>
    <col min="3329" max="3329" width="46.21875" style="497" bestFit="1" customWidth="1"/>
    <col min="3330" max="3330" width="9.6640625" style="497" bestFit="1" customWidth="1"/>
    <col min="3331" max="3341" width="0" style="497" hidden="1" customWidth="1"/>
    <col min="3342" max="3342" width="17.44140625" style="497" customWidth="1"/>
    <col min="3343" max="3351" width="0" style="497" hidden="1" customWidth="1"/>
    <col min="3352" max="3584" width="8.88671875" style="497"/>
    <col min="3585" max="3585" width="46.21875" style="497" bestFit="1" customWidth="1"/>
    <col min="3586" max="3586" width="9.6640625" style="497" bestFit="1" customWidth="1"/>
    <col min="3587" max="3597" width="0" style="497" hidden="1" customWidth="1"/>
    <col min="3598" max="3598" width="17.44140625" style="497" customWidth="1"/>
    <col min="3599" max="3607" width="0" style="497" hidden="1" customWidth="1"/>
    <col min="3608" max="3840" width="8.88671875" style="497"/>
    <col min="3841" max="3841" width="46.21875" style="497" bestFit="1" customWidth="1"/>
    <col min="3842" max="3842" width="9.6640625" style="497" bestFit="1" customWidth="1"/>
    <col min="3843" max="3853" width="0" style="497" hidden="1" customWidth="1"/>
    <col min="3854" max="3854" width="17.44140625" style="497" customWidth="1"/>
    <col min="3855" max="3863" width="0" style="497" hidden="1" customWidth="1"/>
    <col min="3864" max="4096" width="8.88671875" style="497"/>
    <col min="4097" max="4097" width="46.21875" style="497" bestFit="1" customWidth="1"/>
    <col min="4098" max="4098" width="9.6640625" style="497" bestFit="1" customWidth="1"/>
    <col min="4099" max="4109" width="0" style="497" hidden="1" customWidth="1"/>
    <col min="4110" max="4110" width="17.44140625" style="497" customWidth="1"/>
    <col min="4111" max="4119" width="0" style="497" hidden="1" customWidth="1"/>
    <col min="4120" max="4352" width="8.88671875" style="497"/>
    <col min="4353" max="4353" width="46.21875" style="497" bestFit="1" customWidth="1"/>
    <col min="4354" max="4354" width="9.6640625" style="497" bestFit="1" customWidth="1"/>
    <col min="4355" max="4365" width="0" style="497" hidden="1" customWidth="1"/>
    <col min="4366" max="4366" width="17.44140625" style="497" customWidth="1"/>
    <col min="4367" max="4375" width="0" style="497" hidden="1" customWidth="1"/>
    <col min="4376" max="4608" width="8.88671875" style="497"/>
    <col min="4609" max="4609" width="46.21875" style="497" bestFit="1" customWidth="1"/>
    <col min="4610" max="4610" width="9.6640625" style="497" bestFit="1" customWidth="1"/>
    <col min="4611" max="4621" width="0" style="497" hidden="1" customWidth="1"/>
    <col min="4622" max="4622" width="17.44140625" style="497" customWidth="1"/>
    <col min="4623" max="4631" width="0" style="497" hidden="1" customWidth="1"/>
    <col min="4632" max="4864" width="8.88671875" style="497"/>
    <col min="4865" max="4865" width="46.21875" style="497" bestFit="1" customWidth="1"/>
    <col min="4866" max="4866" width="9.6640625" style="497" bestFit="1" customWidth="1"/>
    <col min="4867" max="4877" width="0" style="497" hidden="1" customWidth="1"/>
    <col min="4878" max="4878" width="17.44140625" style="497" customWidth="1"/>
    <col min="4879" max="4887" width="0" style="497" hidden="1" customWidth="1"/>
    <col min="4888" max="5120" width="8.88671875" style="497"/>
    <col min="5121" max="5121" width="46.21875" style="497" bestFit="1" customWidth="1"/>
    <col min="5122" max="5122" width="9.6640625" style="497" bestFit="1" customWidth="1"/>
    <col min="5123" max="5133" width="0" style="497" hidden="1" customWidth="1"/>
    <col min="5134" max="5134" width="17.44140625" style="497" customWidth="1"/>
    <col min="5135" max="5143" width="0" style="497" hidden="1" customWidth="1"/>
    <col min="5144" max="5376" width="8.88671875" style="497"/>
    <col min="5377" max="5377" width="46.21875" style="497" bestFit="1" customWidth="1"/>
    <col min="5378" max="5378" width="9.6640625" style="497" bestFit="1" customWidth="1"/>
    <col min="5379" max="5389" width="0" style="497" hidden="1" customWidth="1"/>
    <col min="5390" max="5390" width="17.44140625" style="497" customWidth="1"/>
    <col min="5391" max="5399" width="0" style="497" hidden="1" customWidth="1"/>
    <col min="5400" max="5632" width="8.88671875" style="497"/>
    <col min="5633" max="5633" width="46.21875" style="497" bestFit="1" customWidth="1"/>
    <col min="5634" max="5634" width="9.6640625" style="497" bestFit="1" customWidth="1"/>
    <col min="5635" max="5645" width="0" style="497" hidden="1" customWidth="1"/>
    <col min="5646" max="5646" width="17.44140625" style="497" customWidth="1"/>
    <col min="5647" max="5655" width="0" style="497" hidden="1" customWidth="1"/>
    <col min="5656" max="5888" width="8.88671875" style="497"/>
    <col min="5889" max="5889" width="46.21875" style="497" bestFit="1" customWidth="1"/>
    <col min="5890" max="5890" width="9.6640625" style="497" bestFit="1" customWidth="1"/>
    <col min="5891" max="5901" width="0" style="497" hidden="1" customWidth="1"/>
    <col min="5902" max="5902" width="17.44140625" style="497" customWidth="1"/>
    <col min="5903" max="5911" width="0" style="497" hidden="1" customWidth="1"/>
    <col min="5912" max="6144" width="8.88671875" style="497"/>
    <col min="6145" max="6145" width="46.21875" style="497" bestFit="1" customWidth="1"/>
    <col min="6146" max="6146" width="9.6640625" style="497" bestFit="1" customWidth="1"/>
    <col min="6147" max="6157" width="0" style="497" hidden="1" customWidth="1"/>
    <col min="6158" max="6158" width="17.44140625" style="497" customWidth="1"/>
    <col min="6159" max="6167" width="0" style="497" hidden="1" customWidth="1"/>
    <col min="6168" max="6400" width="8.88671875" style="497"/>
    <col min="6401" max="6401" width="46.21875" style="497" bestFit="1" customWidth="1"/>
    <col min="6402" max="6402" width="9.6640625" style="497" bestFit="1" customWidth="1"/>
    <col min="6403" max="6413" width="0" style="497" hidden="1" customWidth="1"/>
    <col min="6414" max="6414" width="17.44140625" style="497" customWidth="1"/>
    <col min="6415" max="6423" width="0" style="497" hidden="1" customWidth="1"/>
    <col min="6424" max="6656" width="8.88671875" style="497"/>
    <col min="6657" max="6657" width="46.21875" style="497" bestFit="1" customWidth="1"/>
    <col min="6658" max="6658" width="9.6640625" style="497" bestFit="1" customWidth="1"/>
    <col min="6659" max="6669" width="0" style="497" hidden="1" customWidth="1"/>
    <col min="6670" max="6670" width="17.44140625" style="497" customWidth="1"/>
    <col min="6671" max="6679" width="0" style="497" hidden="1" customWidth="1"/>
    <col min="6680" max="6912" width="8.88671875" style="497"/>
    <col min="6913" max="6913" width="46.21875" style="497" bestFit="1" customWidth="1"/>
    <col min="6914" max="6914" width="9.6640625" style="497" bestFit="1" customWidth="1"/>
    <col min="6915" max="6925" width="0" style="497" hidden="1" customWidth="1"/>
    <col min="6926" max="6926" width="17.44140625" style="497" customWidth="1"/>
    <col min="6927" max="6935" width="0" style="497" hidden="1" customWidth="1"/>
    <col min="6936" max="7168" width="8.88671875" style="497"/>
    <col min="7169" max="7169" width="46.21875" style="497" bestFit="1" customWidth="1"/>
    <col min="7170" max="7170" width="9.6640625" style="497" bestFit="1" customWidth="1"/>
    <col min="7171" max="7181" width="0" style="497" hidden="1" customWidth="1"/>
    <col min="7182" max="7182" width="17.44140625" style="497" customWidth="1"/>
    <col min="7183" max="7191" width="0" style="497" hidden="1" customWidth="1"/>
    <col min="7192" max="7424" width="8.88671875" style="497"/>
    <col min="7425" max="7425" width="46.21875" style="497" bestFit="1" customWidth="1"/>
    <col min="7426" max="7426" width="9.6640625" style="497" bestFit="1" customWidth="1"/>
    <col min="7427" max="7437" width="0" style="497" hidden="1" customWidth="1"/>
    <col min="7438" max="7438" width="17.44140625" style="497" customWidth="1"/>
    <col min="7439" max="7447" width="0" style="497" hidden="1" customWidth="1"/>
    <col min="7448" max="7680" width="8.88671875" style="497"/>
    <col min="7681" max="7681" width="46.21875" style="497" bestFit="1" customWidth="1"/>
    <col min="7682" max="7682" width="9.6640625" style="497" bestFit="1" customWidth="1"/>
    <col min="7683" max="7693" width="0" style="497" hidden="1" customWidth="1"/>
    <col min="7694" max="7694" width="17.44140625" style="497" customWidth="1"/>
    <col min="7695" max="7703" width="0" style="497" hidden="1" customWidth="1"/>
    <col min="7704" max="7936" width="8.88671875" style="497"/>
    <col min="7937" max="7937" width="46.21875" style="497" bestFit="1" customWidth="1"/>
    <col min="7938" max="7938" width="9.6640625" style="497" bestFit="1" customWidth="1"/>
    <col min="7939" max="7949" width="0" style="497" hidden="1" customWidth="1"/>
    <col min="7950" max="7950" width="17.44140625" style="497" customWidth="1"/>
    <col min="7951" max="7959" width="0" style="497" hidden="1" customWidth="1"/>
    <col min="7960" max="8192" width="8.88671875" style="497"/>
    <col min="8193" max="8193" width="46.21875" style="497" bestFit="1" customWidth="1"/>
    <col min="8194" max="8194" width="9.6640625" style="497" bestFit="1" customWidth="1"/>
    <col min="8195" max="8205" width="0" style="497" hidden="1" customWidth="1"/>
    <col min="8206" max="8206" width="17.44140625" style="497" customWidth="1"/>
    <col min="8207" max="8215" width="0" style="497" hidden="1" customWidth="1"/>
    <col min="8216" max="8448" width="8.88671875" style="497"/>
    <col min="8449" max="8449" width="46.21875" style="497" bestFit="1" customWidth="1"/>
    <col min="8450" max="8450" width="9.6640625" style="497" bestFit="1" customWidth="1"/>
    <col min="8451" max="8461" width="0" style="497" hidden="1" customWidth="1"/>
    <col min="8462" max="8462" width="17.44140625" style="497" customWidth="1"/>
    <col min="8463" max="8471" width="0" style="497" hidden="1" customWidth="1"/>
    <col min="8472" max="8704" width="8.88671875" style="497"/>
    <col min="8705" max="8705" width="46.21875" style="497" bestFit="1" customWidth="1"/>
    <col min="8706" max="8706" width="9.6640625" style="497" bestFit="1" customWidth="1"/>
    <col min="8707" max="8717" width="0" style="497" hidden="1" customWidth="1"/>
    <col min="8718" max="8718" width="17.44140625" style="497" customWidth="1"/>
    <col min="8719" max="8727" width="0" style="497" hidden="1" customWidth="1"/>
    <col min="8728" max="8960" width="8.88671875" style="497"/>
    <col min="8961" max="8961" width="46.21875" style="497" bestFit="1" customWidth="1"/>
    <col min="8962" max="8962" width="9.6640625" style="497" bestFit="1" customWidth="1"/>
    <col min="8963" max="8973" width="0" style="497" hidden="1" customWidth="1"/>
    <col min="8974" max="8974" width="17.44140625" style="497" customWidth="1"/>
    <col min="8975" max="8983" width="0" style="497" hidden="1" customWidth="1"/>
    <col min="8984" max="9216" width="8.88671875" style="497"/>
    <col min="9217" max="9217" width="46.21875" style="497" bestFit="1" customWidth="1"/>
    <col min="9218" max="9218" width="9.6640625" style="497" bestFit="1" customWidth="1"/>
    <col min="9219" max="9229" width="0" style="497" hidden="1" customWidth="1"/>
    <col min="9230" max="9230" width="17.44140625" style="497" customWidth="1"/>
    <col min="9231" max="9239" width="0" style="497" hidden="1" customWidth="1"/>
    <col min="9240" max="9472" width="8.88671875" style="497"/>
    <col min="9473" max="9473" width="46.21875" style="497" bestFit="1" customWidth="1"/>
    <col min="9474" max="9474" width="9.6640625" style="497" bestFit="1" customWidth="1"/>
    <col min="9475" max="9485" width="0" style="497" hidden="1" customWidth="1"/>
    <col min="9486" max="9486" width="17.44140625" style="497" customWidth="1"/>
    <col min="9487" max="9495" width="0" style="497" hidden="1" customWidth="1"/>
    <col min="9496" max="9728" width="8.88671875" style="497"/>
    <col min="9729" max="9729" width="46.21875" style="497" bestFit="1" customWidth="1"/>
    <col min="9730" max="9730" width="9.6640625" style="497" bestFit="1" customWidth="1"/>
    <col min="9731" max="9741" width="0" style="497" hidden="1" customWidth="1"/>
    <col min="9742" max="9742" width="17.44140625" style="497" customWidth="1"/>
    <col min="9743" max="9751" width="0" style="497" hidden="1" customWidth="1"/>
    <col min="9752" max="9984" width="8.88671875" style="497"/>
    <col min="9985" max="9985" width="46.21875" style="497" bestFit="1" customWidth="1"/>
    <col min="9986" max="9986" width="9.6640625" style="497" bestFit="1" customWidth="1"/>
    <col min="9987" max="9997" width="0" style="497" hidden="1" customWidth="1"/>
    <col min="9998" max="9998" width="17.44140625" style="497" customWidth="1"/>
    <col min="9999" max="10007" width="0" style="497" hidden="1" customWidth="1"/>
    <col min="10008" max="10240" width="8.88671875" style="497"/>
    <col min="10241" max="10241" width="46.21875" style="497" bestFit="1" customWidth="1"/>
    <col min="10242" max="10242" width="9.6640625" style="497" bestFit="1" customWidth="1"/>
    <col min="10243" max="10253" width="0" style="497" hidden="1" customWidth="1"/>
    <col min="10254" max="10254" width="17.44140625" style="497" customWidth="1"/>
    <col min="10255" max="10263" width="0" style="497" hidden="1" customWidth="1"/>
    <col min="10264" max="10496" width="8.88671875" style="497"/>
    <col min="10497" max="10497" width="46.21875" style="497" bestFit="1" customWidth="1"/>
    <col min="10498" max="10498" width="9.6640625" style="497" bestFit="1" customWidth="1"/>
    <col min="10499" max="10509" width="0" style="497" hidden="1" customWidth="1"/>
    <col min="10510" max="10510" width="17.44140625" style="497" customWidth="1"/>
    <col min="10511" max="10519" width="0" style="497" hidden="1" customWidth="1"/>
    <col min="10520" max="10752" width="8.88671875" style="497"/>
    <col min="10753" max="10753" width="46.21875" style="497" bestFit="1" customWidth="1"/>
    <col min="10754" max="10754" width="9.6640625" style="497" bestFit="1" customWidth="1"/>
    <col min="10755" max="10765" width="0" style="497" hidden="1" customWidth="1"/>
    <col min="10766" max="10766" width="17.44140625" style="497" customWidth="1"/>
    <col min="10767" max="10775" width="0" style="497" hidden="1" customWidth="1"/>
    <col min="10776" max="11008" width="8.88671875" style="497"/>
    <col min="11009" max="11009" width="46.21875" style="497" bestFit="1" customWidth="1"/>
    <col min="11010" max="11010" width="9.6640625" style="497" bestFit="1" customWidth="1"/>
    <col min="11011" max="11021" width="0" style="497" hidden="1" customWidth="1"/>
    <col min="11022" max="11022" width="17.44140625" style="497" customWidth="1"/>
    <col min="11023" max="11031" width="0" style="497" hidden="1" customWidth="1"/>
    <col min="11032" max="11264" width="8.88671875" style="497"/>
    <col min="11265" max="11265" width="46.21875" style="497" bestFit="1" customWidth="1"/>
    <col min="11266" max="11266" width="9.6640625" style="497" bestFit="1" customWidth="1"/>
    <col min="11267" max="11277" width="0" style="497" hidden="1" customWidth="1"/>
    <col min="11278" max="11278" width="17.44140625" style="497" customWidth="1"/>
    <col min="11279" max="11287" width="0" style="497" hidden="1" customWidth="1"/>
    <col min="11288" max="11520" width="8.88671875" style="497"/>
    <col min="11521" max="11521" width="46.21875" style="497" bestFit="1" customWidth="1"/>
    <col min="11522" max="11522" width="9.6640625" style="497" bestFit="1" customWidth="1"/>
    <col min="11523" max="11533" width="0" style="497" hidden="1" customWidth="1"/>
    <col min="11534" max="11534" width="17.44140625" style="497" customWidth="1"/>
    <col min="11535" max="11543" width="0" style="497" hidden="1" customWidth="1"/>
    <col min="11544" max="11776" width="8.88671875" style="497"/>
    <col min="11777" max="11777" width="46.21875" style="497" bestFit="1" customWidth="1"/>
    <col min="11778" max="11778" width="9.6640625" style="497" bestFit="1" customWidth="1"/>
    <col min="11779" max="11789" width="0" style="497" hidden="1" customWidth="1"/>
    <col min="11790" max="11790" width="17.44140625" style="497" customWidth="1"/>
    <col min="11791" max="11799" width="0" style="497" hidden="1" customWidth="1"/>
    <col min="11800" max="12032" width="8.88671875" style="497"/>
    <col min="12033" max="12033" width="46.21875" style="497" bestFit="1" customWidth="1"/>
    <col min="12034" max="12034" width="9.6640625" style="497" bestFit="1" customWidth="1"/>
    <col min="12035" max="12045" width="0" style="497" hidden="1" customWidth="1"/>
    <col min="12046" max="12046" width="17.44140625" style="497" customWidth="1"/>
    <col min="12047" max="12055" width="0" style="497" hidden="1" customWidth="1"/>
    <col min="12056" max="12288" width="8.88671875" style="497"/>
    <col min="12289" max="12289" width="46.21875" style="497" bestFit="1" customWidth="1"/>
    <col min="12290" max="12290" width="9.6640625" style="497" bestFit="1" customWidth="1"/>
    <col min="12291" max="12301" width="0" style="497" hidden="1" customWidth="1"/>
    <col min="12302" max="12302" width="17.44140625" style="497" customWidth="1"/>
    <col min="12303" max="12311" width="0" style="497" hidden="1" customWidth="1"/>
    <col min="12312" max="12544" width="8.88671875" style="497"/>
    <col min="12545" max="12545" width="46.21875" style="497" bestFit="1" customWidth="1"/>
    <col min="12546" max="12546" width="9.6640625" style="497" bestFit="1" customWidth="1"/>
    <col min="12547" max="12557" width="0" style="497" hidden="1" customWidth="1"/>
    <col min="12558" max="12558" width="17.44140625" style="497" customWidth="1"/>
    <col min="12559" max="12567" width="0" style="497" hidden="1" customWidth="1"/>
    <col min="12568" max="12800" width="8.88671875" style="497"/>
    <col min="12801" max="12801" width="46.21875" style="497" bestFit="1" customWidth="1"/>
    <col min="12802" max="12802" width="9.6640625" style="497" bestFit="1" customWidth="1"/>
    <col min="12803" max="12813" width="0" style="497" hidden="1" customWidth="1"/>
    <col min="12814" max="12814" width="17.44140625" style="497" customWidth="1"/>
    <col min="12815" max="12823" width="0" style="497" hidden="1" customWidth="1"/>
    <col min="12824" max="13056" width="8.88671875" style="497"/>
    <col min="13057" max="13057" width="46.21875" style="497" bestFit="1" customWidth="1"/>
    <col min="13058" max="13058" width="9.6640625" style="497" bestFit="1" customWidth="1"/>
    <col min="13059" max="13069" width="0" style="497" hidden="1" customWidth="1"/>
    <col min="13070" max="13070" width="17.44140625" style="497" customWidth="1"/>
    <col min="13071" max="13079" width="0" style="497" hidden="1" customWidth="1"/>
    <col min="13080" max="13312" width="8.88671875" style="497"/>
    <col min="13313" max="13313" width="46.21875" style="497" bestFit="1" customWidth="1"/>
    <col min="13314" max="13314" width="9.6640625" style="497" bestFit="1" customWidth="1"/>
    <col min="13315" max="13325" width="0" style="497" hidden="1" customWidth="1"/>
    <col min="13326" max="13326" width="17.44140625" style="497" customWidth="1"/>
    <col min="13327" max="13335" width="0" style="497" hidden="1" customWidth="1"/>
    <col min="13336" max="13568" width="8.88671875" style="497"/>
    <col min="13569" max="13569" width="46.21875" style="497" bestFit="1" customWidth="1"/>
    <col min="13570" max="13570" width="9.6640625" style="497" bestFit="1" customWidth="1"/>
    <col min="13571" max="13581" width="0" style="497" hidden="1" customWidth="1"/>
    <col min="13582" max="13582" width="17.44140625" style="497" customWidth="1"/>
    <col min="13583" max="13591" width="0" style="497" hidden="1" customWidth="1"/>
    <col min="13592" max="13824" width="8.88671875" style="497"/>
    <col min="13825" max="13825" width="46.21875" style="497" bestFit="1" customWidth="1"/>
    <col min="13826" max="13826" width="9.6640625" style="497" bestFit="1" customWidth="1"/>
    <col min="13827" max="13837" width="0" style="497" hidden="1" customWidth="1"/>
    <col min="13838" max="13838" width="17.44140625" style="497" customWidth="1"/>
    <col min="13839" max="13847" width="0" style="497" hidden="1" customWidth="1"/>
    <col min="13848" max="14080" width="8.88671875" style="497"/>
    <col min="14081" max="14081" width="46.21875" style="497" bestFit="1" customWidth="1"/>
    <col min="14082" max="14082" width="9.6640625" style="497" bestFit="1" customWidth="1"/>
    <col min="14083" max="14093" width="0" style="497" hidden="1" customWidth="1"/>
    <col min="14094" max="14094" width="17.44140625" style="497" customWidth="1"/>
    <col min="14095" max="14103" width="0" style="497" hidden="1" customWidth="1"/>
    <col min="14104" max="14336" width="8.88671875" style="497"/>
    <col min="14337" max="14337" width="46.21875" style="497" bestFit="1" customWidth="1"/>
    <col min="14338" max="14338" width="9.6640625" style="497" bestFit="1" customWidth="1"/>
    <col min="14339" max="14349" width="0" style="497" hidden="1" customWidth="1"/>
    <col min="14350" max="14350" width="17.44140625" style="497" customWidth="1"/>
    <col min="14351" max="14359" width="0" style="497" hidden="1" customWidth="1"/>
    <col min="14360" max="14592" width="8.88671875" style="497"/>
    <col min="14593" max="14593" width="46.21875" style="497" bestFit="1" customWidth="1"/>
    <col min="14594" max="14594" width="9.6640625" style="497" bestFit="1" customWidth="1"/>
    <col min="14595" max="14605" width="0" style="497" hidden="1" customWidth="1"/>
    <col min="14606" max="14606" width="17.44140625" style="497" customWidth="1"/>
    <col min="14607" max="14615" width="0" style="497" hidden="1" customWidth="1"/>
    <col min="14616" max="14848" width="8.88671875" style="497"/>
    <col min="14849" max="14849" width="46.21875" style="497" bestFit="1" customWidth="1"/>
    <col min="14850" max="14850" width="9.6640625" style="497" bestFit="1" customWidth="1"/>
    <col min="14851" max="14861" width="0" style="497" hidden="1" customWidth="1"/>
    <col min="14862" max="14862" width="17.44140625" style="497" customWidth="1"/>
    <col min="14863" max="14871" width="0" style="497" hidden="1" customWidth="1"/>
    <col min="14872" max="15104" width="8.88671875" style="497"/>
    <col min="15105" max="15105" width="46.21875" style="497" bestFit="1" customWidth="1"/>
    <col min="15106" max="15106" width="9.6640625" style="497" bestFit="1" customWidth="1"/>
    <col min="15107" max="15117" width="0" style="497" hidden="1" customWidth="1"/>
    <col min="15118" max="15118" width="17.44140625" style="497" customWidth="1"/>
    <col min="15119" max="15127" width="0" style="497" hidden="1" customWidth="1"/>
    <col min="15128" max="15360" width="8.88671875" style="497"/>
    <col min="15361" max="15361" width="46.21875" style="497" bestFit="1" customWidth="1"/>
    <col min="15362" max="15362" width="9.6640625" style="497" bestFit="1" customWidth="1"/>
    <col min="15363" max="15373" width="0" style="497" hidden="1" customWidth="1"/>
    <col min="15374" max="15374" width="17.44140625" style="497" customWidth="1"/>
    <col min="15375" max="15383" width="0" style="497" hidden="1" customWidth="1"/>
    <col min="15384" max="15616" width="8.88671875" style="497"/>
    <col min="15617" max="15617" width="46.21875" style="497" bestFit="1" customWidth="1"/>
    <col min="15618" max="15618" width="9.6640625" style="497" bestFit="1" customWidth="1"/>
    <col min="15619" max="15629" width="0" style="497" hidden="1" customWidth="1"/>
    <col min="15630" max="15630" width="17.44140625" style="497" customWidth="1"/>
    <col min="15631" max="15639" width="0" style="497" hidden="1" customWidth="1"/>
    <col min="15640" max="15872" width="8.88671875" style="497"/>
    <col min="15873" max="15873" width="46.21875" style="497" bestFit="1" customWidth="1"/>
    <col min="15874" max="15874" width="9.6640625" style="497" bestFit="1" customWidth="1"/>
    <col min="15875" max="15885" width="0" style="497" hidden="1" customWidth="1"/>
    <col min="15886" max="15886" width="17.44140625" style="497" customWidth="1"/>
    <col min="15887" max="15895" width="0" style="497" hidden="1" customWidth="1"/>
    <col min="15896" max="16128" width="8.88671875" style="497"/>
    <col min="16129" max="16129" width="46.21875" style="497" bestFit="1" customWidth="1"/>
    <col min="16130" max="16130" width="9.6640625" style="497" bestFit="1" customWidth="1"/>
    <col min="16131" max="16141" width="0" style="497" hidden="1" customWidth="1"/>
    <col min="16142" max="16142" width="17.44140625" style="497" customWidth="1"/>
    <col min="16143" max="16151" width="0" style="497" hidden="1" customWidth="1"/>
    <col min="16152" max="16384" width="8.88671875" style="497"/>
  </cols>
  <sheetData>
    <row r="1" spans="1:19" s="490" customFormat="1" ht="16.2">
      <c r="A1" s="579" t="s">
        <v>303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Q1" s="491"/>
      <c r="R1" s="492"/>
      <c r="S1" s="493"/>
    </row>
    <row r="2" spans="1:19" s="490" customFormat="1" ht="15.6">
      <c r="A2" s="581" t="s">
        <v>330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Q2" s="494"/>
      <c r="R2" s="495"/>
      <c r="S2" s="493"/>
    </row>
    <row r="3" spans="1:19" s="490" customFormat="1" ht="15.6">
      <c r="A3" s="577" t="str">
        <f>R4</f>
        <v>May 2017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Q3" s="494"/>
      <c r="R3" s="495"/>
      <c r="S3" s="493"/>
    </row>
    <row r="4" spans="1:19" s="490" customFormat="1">
      <c r="A4" s="478"/>
      <c r="B4" s="465"/>
      <c r="C4" s="465"/>
      <c r="D4" s="465"/>
      <c r="E4" s="465"/>
      <c r="F4" s="465"/>
      <c r="G4" s="465"/>
      <c r="H4" s="479"/>
      <c r="I4" s="479"/>
      <c r="J4" s="479"/>
      <c r="K4" s="446"/>
      <c r="L4" s="446"/>
      <c r="M4" s="446"/>
      <c r="N4" s="446"/>
      <c r="Q4" s="494" t="s">
        <v>400</v>
      </c>
      <c r="R4" s="495" t="str">
        <f>TEXT(S4,"mmmm yyyy")</f>
        <v>May 2017</v>
      </c>
      <c r="S4" s="496">
        <v>42886</v>
      </c>
    </row>
    <row r="5" spans="1:19">
      <c r="A5" s="480"/>
      <c r="B5" s="465"/>
      <c r="C5" s="465"/>
      <c r="D5" s="465"/>
      <c r="E5" s="465"/>
      <c r="F5" s="465"/>
      <c r="G5" s="465"/>
      <c r="H5" s="481"/>
      <c r="I5" s="481"/>
      <c r="J5" s="481"/>
      <c r="K5" s="465"/>
      <c r="L5" s="465"/>
      <c r="M5" s="465"/>
      <c r="N5" s="465"/>
      <c r="Q5" s="494" t="s">
        <v>407</v>
      </c>
      <c r="R5" s="495" t="str">
        <f>S5</f>
        <v>.</v>
      </c>
      <c r="S5" s="498" t="s">
        <v>402</v>
      </c>
    </row>
    <row r="6" spans="1:19" ht="15.6">
      <c r="A6" s="122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94" t="s">
        <v>403</v>
      </c>
      <c r="R6" s="495" t="str">
        <f>S6</f>
        <v>2017</v>
      </c>
      <c r="S6" s="498" t="s">
        <v>404</v>
      </c>
    </row>
    <row r="7" spans="1:19" s="499" customFormat="1" ht="16.2" thickBot="1">
      <c r="A7" s="123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Q7" s="500" t="s">
        <v>405</v>
      </c>
      <c r="R7" s="495" t="str">
        <f>TEXT(S7,"mmmm-dd-yyyy")</f>
        <v>May-31-2017</v>
      </c>
      <c r="S7" s="496">
        <f>S4</f>
        <v>42886</v>
      </c>
    </row>
    <row r="8" spans="1:19" ht="16.2" thickTop="1">
      <c r="A8" s="122"/>
      <c r="B8" s="107"/>
      <c r="C8" s="107"/>
      <c r="D8" s="107"/>
      <c r="E8" s="107"/>
      <c r="F8" s="107"/>
      <c r="G8" s="107"/>
      <c r="H8" s="124"/>
      <c r="I8" s="125"/>
      <c r="J8" s="125"/>
      <c r="K8" s="107"/>
      <c r="L8" s="107"/>
      <c r="M8" s="107"/>
      <c r="N8" s="107"/>
      <c r="Q8" s="500" t="s">
        <v>405</v>
      </c>
      <c r="R8" s="495" t="str">
        <f>TEXT(S8,"mm/dd/yy")</f>
        <v>05/31/17</v>
      </c>
      <c r="S8" s="496">
        <f>S4</f>
        <v>42886</v>
      </c>
    </row>
    <row r="9" spans="1:19" ht="16.2" thickBot="1">
      <c r="A9" s="534" t="s">
        <v>320</v>
      </c>
      <c r="B9" s="112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>B9</f>
        <v>0</v>
      </c>
      <c r="Q9" s="494" t="s">
        <v>403</v>
      </c>
      <c r="R9" s="495">
        <f>S9</f>
        <v>17</v>
      </c>
      <c r="S9" s="498">
        <v>17</v>
      </c>
    </row>
    <row r="10" spans="1:19" ht="15.6">
      <c r="A10" s="122"/>
      <c r="B10" s="107"/>
      <c r="C10" s="107"/>
      <c r="D10" s="107"/>
      <c r="E10" s="107"/>
      <c r="F10" s="107"/>
      <c r="G10" s="107"/>
      <c r="H10" s="124"/>
      <c r="I10" s="124"/>
      <c r="J10" s="124"/>
      <c r="K10" s="107"/>
      <c r="L10" s="107"/>
      <c r="M10" s="107"/>
      <c r="N10" s="107"/>
      <c r="Q10" s="526" t="s">
        <v>406</v>
      </c>
      <c r="R10" s="527" t="str">
        <f>"0"&amp;S10</f>
        <v>016</v>
      </c>
      <c r="S10" s="498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24"/>
      <c r="I11" s="124"/>
      <c r="J11" s="124"/>
      <c r="K11" s="107"/>
      <c r="L11" s="107"/>
      <c r="M11" s="107"/>
      <c r="N11" s="107"/>
    </row>
    <row r="12" spans="1:19" ht="15.6">
      <c r="A12" s="122"/>
      <c r="B12" s="107"/>
      <c r="C12" s="107"/>
      <c r="D12" s="107"/>
      <c r="E12" s="107"/>
      <c r="F12" s="107"/>
      <c r="G12" s="107"/>
      <c r="H12" s="124"/>
      <c r="I12" s="124"/>
      <c r="J12" s="124"/>
      <c r="K12" s="107"/>
      <c r="L12" s="107"/>
      <c r="M12" s="107"/>
      <c r="N12" s="107"/>
    </row>
    <row r="13" spans="1:19" ht="15.6">
      <c r="A13" s="122" t="s">
        <v>331</v>
      </c>
      <c r="B13" s="107">
        <v>654.5</v>
      </c>
      <c r="C13" s="107">
        <v>362.99</v>
      </c>
      <c r="D13" s="107">
        <v>484.59</v>
      </c>
      <c r="E13" s="107">
        <v>608.65</v>
      </c>
      <c r="F13" s="129">
        <v>705.83</v>
      </c>
      <c r="G13" s="107">
        <v>516.97</v>
      </c>
      <c r="H13" s="107">
        <v>381.32</v>
      </c>
      <c r="I13" s="107">
        <v>453</v>
      </c>
      <c r="J13" s="107">
        <v>443.66</v>
      </c>
      <c r="K13" s="107"/>
      <c r="L13" s="107"/>
      <c r="M13" s="107"/>
      <c r="N13" s="107">
        <f>ROUND(SUM(B13:M13),0)</f>
        <v>4612</v>
      </c>
    </row>
    <row r="14" spans="1:19" ht="15.6">
      <c r="A14" s="12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9" ht="15.6">
      <c r="A15" s="122"/>
      <c r="B15" s="107"/>
      <c r="C15" s="107"/>
      <c r="D15" s="107"/>
      <c r="E15" s="107"/>
      <c r="F15" s="107"/>
      <c r="G15" s="107"/>
      <c r="H15" s="124"/>
      <c r="I15" s="124"/>
      <c r="J15" s="124"/>
      <c r="K15" s="107"/>
      <c r="L15" s="107"/>
      <c r="M15" s="107"/>
      <c r="N15" s="107"/>
    </row>
    <row r="16" spans="1:19" ht="15.6">
      <c r="A16" s="108" t="s">
        <v>295</v>
      </c>
      <c r="B16" s="116">
        <f>SUM(B8:B15)</f>
        <v>654.5</v>
      </c>
      <c r="C16" s="116">
        <f t="shared" ref="C16:J16" si="1">SUM(C8:C15)</f>
        <v>362.99</v>
      </c>
      <c r="D16" s="116">
        <f t="shared" si="1"/>
        <v>484.59</v>
      </c>
      <c r="E16" s="116">
        <f t="shared" si="1"/>
        <v>608.65</v>
      </c>
      <c r="F16" s="116">
        <f t="shared" si="1"/>
        <v>705.83</v>
      </c>
      <c r="G16" s="116">
        <f t="shared" si="1"/>
        <v>516.97</v>
      </c>
      <c r="H16" s="116">
        <f t="shared" si="1"/>
        <v>381.32</v>
      </c>
      <c r="I16" s="116">
        <f t="shared" si="1"/>
        <v>453</v>
      </c>
      <c r="J16" s="116">
        <f t="shared" si="1"/>
        <v>443.66</v>
      </c>
      <c r="K16" s="116">
        <f t="shared" ref="K16:M16" si="2">ROUND((SUM(K8:K15)),0)</f>
        <v>0</v>
      </c>
      <c r="L16" s="116">
        <f t="shared" si="2"/>
        <v>0</v>
      </c>
      <c r="M16" s="116">
        <f t="shared" si="2"/>
        <v>0</v>
      </c>
      <c r="N16" s="116">
        <f>SUM(B16:M16)</f>
        <v>4611.51</v>
      </c>
    </row>
    <row r="17" spans="1:14" ht="15.6">
      <c r="A17" s="122"/>
      <c r="B17" s="107"/>
      <c r="C17" s="107"/>
      <c r="D17" s="107"/>
      <c r="E17" s="107"/>
      <c r="F17" s="107"/>
      <c r="G17" s="107"/>
      <c r="H17" s="130"/>
      <c r="I17" s="130"/>
      <c r="J17" s="130"/>
      <c r="K17" s="107"/>
      <c r="L17" s="107"/>
      <c r="M17" s="107"/>
      <c r="N17" s="107"/>
    </row>
    <row r="18" spans="1:14" ht="15.6">
      <c r="A18" s="106" t="s">
        <v>294</v>
      </c>
      <c r="B18" s="107"/>
      <c r="C18" s="107"/>
      <c r="D18" s="107"/>
      <c r="E18" s="107"/>
      <c r="F18" s="107"/>
      <c r="G18" s="107"/>
      <c r="H18" s="130"/>
      <c r="I18" s="130"/>
      <c r="J18" s="130"/>
      <c r="K18" s="107"/>
      <c r="L18" s="107"/>
      <c r="M18" s="107"/>
      <c r="N18" s="107"/>
    </row>
    <row r="19" spans="1:14" ht="15.6">
      <c r="A19" s="131"/>
      <c r="B19" s="107"/>
      <c r="C19" s="107"/>
      <c r="D19" s="107"/>
      <c r="E19" s="107"/>
      <c r="F19" s="107"/>
      <c r="G19" s="107"/>
      <c r="H19" s="130"/>
      <c r="I19" s="130"/>
      <c r="J19" s="130"/>
      <c r="K19" s="107"/>
      <c r="L19" s="107"/>
      <c r="M19" s="107"/>
      <c r="N19" s="107"/>
    </row>
    <row r="20" spans="1:14" ht="15.6">
      <c r="A20" s="126" t="s">
        <v>332</v>
      </c>
      <c r="B20" s="107">
        <f>-B16</f>
        <v>-654.5</v>
      </c>
      <c r="C20" s="107">
        <f t="shared" ref="C20:J20" si="3">-C16</f>
        <v>-362.99</v>
      </c>
      <c r="D20" s="107">
        <f t="shared" si="3"/>
        <v>-484.59</v>
      </c>
      <c r="E20" s="107">
        <f t="shared" si="3"/>
        <v>-608.65</v>
      </c>
      <c r="F20" s="107">
        <f t="shared" si="3"/>
        <v>-705.83</v>
      </c>
      <c r="G20" s="107">
        <f t="shared" si="3"/>
        <v>-516.97</v>
      </c>
      <c r="H20" s="107">
        <f t="shared" si="3"/>
        <v>-381.32</v>
      </c>
      <c r="I20" s="107">
        <f t="shared" si="3"/>
        <v>-453</v>
      </c>
      <c r="J20" s="107">
        <f t="shared" si="3"/>
        <v>-443.66</v>
      </c>
      <c r="K20" s="107">
        <f t="shared" ref="K20:M20" si="4">ROUND(-K16,0)</f>
        <v>0</v>
      </c>
      <c r="L20" s="107">
        <f t="shared" si="4"/>
        <v>0</v>
      </c>
      <c r="M20" s="107">
        <f t="shared" si="4"/>
        <v>0</v>
      </c>
      <c r="N20" s="107">
        <f>ROUND(SUM(B20:M20),0)</f>
        <v>-4612</v>
      </c>
    </row>
    <row r="21" spans="1:14" ht="15.6">
      <c r="A21" s="131"/>
      <c r="B21" s="107"/>
      <c r="C21" s="107"/>
      <c r="D21" s="107"/>
      <c r="E21" s="107"/>
      <c r="F21" s="107"/>
      <c r="G21" s="107"/>
      <c r="H21" s="130"/>
      <c r="I21" s="130"/>
      <c r="J21" s="130"/>
      <c r="K21" s="107"/>
      <c r="L21" s="107"/>
      <c r="M21" s="107"/>
      <c r="N21" s="107"/>
    </row>
    <row r="22" spans="1:14" ht="15.6">
      <c r="A22" s="131"/>
      <c r="B22" s="107"/>
      <c r="C22" s="107"/>
      <c r="D22" s="107"/>
      <c r="E22" s="107"/>
      <c r="F22" s="107"/>
      <c r="G22" s="107"/>
      <c r="H22" s="130"/>
      <c r="I22" s="130"/>
      <c r="J22" s="130"/>
      <c r="K22" s="107"/>
      <c r="L22" s="107"/>
      <c r="M22" s="107"/>
      <c r="N22" s="107"/>
    </row>
    <row r="23" spans="1:14" ht="15.6">
      <c r="A23" s="106" t="s">
        <v>292</v>
      </c>
      <c r="B23" s="116">
        <f>SUM(B19:B22)</f>
        <v>-654.5</v>
      </c>
      <c r="C23" s="116">
        <f t="shared" ref="C23:J23" si="5">SUM(C19:C22)</f>
        <v>-362.99</v>
      </c>
      <c r="D23" s="116">
        <f t="shared" si="5"/>
        <v>-484.59</v>
      </c>
      <c r="E23" s="116">
        <f t="shared" si="5"/>
        <v>-608.65</v>
      </c>
      <c r="F23" s="116">
        <f t="shared" si="5"/>
        <v>-705.83</v>
      </c>
      <c r="G23" s="116">
        <f t="shared" si="5"/>
        <v>-516.97</v>
      </c>
      <c r="H23" s="116">
        <f t="shared" si="5"/>
        <v>-381.32</v>
      </c>
      <c r="I23" s="116">
        <f t="shared" si="5"/>
        <v>-453</v>
      </c>
      <c r="J23" s="116">
        <f t="shared" si="5"/>
        <v>-443.66</v>
      </c>
      <c r="K23" s="116">
        <f t="shared" ref="K23:M23" si="6">SUM(K19:K22)</f>
        <v>0</v>
      </c>
      <c r="L23" s="116">
        <f t="shared" si="6"/>
        <v>0</v>
      </c>
      <c r="M23" s="116">
        <f t="shared" si="6"/>
        <v>0</v>
      </c>
      <c r="N23" s="116">
        <f>SUM(N19:N22)</f>
        <v>-4612</v>
      </c>
    </row>
    <row r="24" spans="1:14" ht="15.6">
      <c r="A24" s="122"/>
      <c r="B24" s="107"/>
      <c r="C24" s="107"/>
      <c r="D24" s="107"/>
      <c r="E24" s="107"/>
      <c r="F24" s="107"/>
      <c r="G24" s="107"/>
      <c r="H24" s="130"/>
      <c r="I24" s="130"/>
      <c r="J24" s="130"/>
      <c r="K24" s="107"/>
      <c r="L24" s="107"/>
      <c r="M24" s="107"/>
      <c r="N24" s="107"/>
    </row>
    <row r="25" spans="1:14" ht="16.2" thickBot="1">
      <c r="A25" s="550" t="s">
        <v>291</v>
      </c>
      <c r="B25" s="549">
        <f>+B9+B16+B23</f>
        <v>0</v>
      </c>
      <c r="C25" s="549">
        <f t="shared" ref="C25:M25" si="7">+C9+C16+C23</f>
        <v>0</v>
      </c>
      <c r="D25" s="549">
        <f t="shared" si="7"/>
        <v>0</v>
      </c>
      <c r="E25" s="549">
        <f t="shared" si="7"/>
        <v>0</v>
      </c>
      <c r="F25" s="549">
        <f t="shared" si="7"/>
        <v>0</v>
      </c>
      <c r="G25" s="549">
        <f t="shared" si="7"/>
        <v>0</v>
      </c>
      <c r="H25" s="549">
        <f t="shared" si="7"/>
        <v>0</v>
      </c>
      <c r="I25" s="549">
        <f t="shared" si="7"/>
        <v>0</v>
      </c>
      <c r="J25" s="549">
        <f t="shared" si="7"/>
        <v>0</v>
      </c>
      <c r="K25" s="549">
        <f t="shared" si="7"/>
        <v>0</v>
      </c>
      <c r="L25" s="549">
        <f t="shared" si="7"/>
        <v>0</v>
      </c>
      <c r="M25" s="549">
        <f t="shared" si="7"/>
        <v>0</v>
      </c>
      <c r="N25" s="549">
        <f>ROUND((+N9+N16+N23),0)</f>
        <v>0</v>
      </c>
    </row>
    <row r="26" spans="1:14" ht="16.2" thickTop="1">
      <c r="A26" s="132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ht="15.6">
      <c r="A27" s="132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15.6">
      <c r="A28" s="101" t="s">
        <v>333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5.6">
      <c r="A29" s="13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5.6">
      <c r="A30" s="128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45"/>
  <sheetViews>
    <sheetView zoomScale="85" zoomScaleNormal="85" zoomScaleSheetLayoutView="85" workbookViewId="0">
      <selection activeCell="A29" sqref="A29"/>
    </sheetView>
  </sheetViews>
  <sheetFormatPr defaultRowHeight="13.2"/>
  <cols>
    <col min="1" max="1" width="62.5546875" style="482" bestFit="1" customWidth="1"/>
    <col min="2" max="2" width="11.44140625" style="454" hidden="1" customWidth="1"/>
    <col min="3" max="3" width="12" style="454" hidden="1" customWidth="1"/>
    <col min="4" max="5" width="12.21875" style="454" hidden="1" customWidth="1"/>
    <col min="6" max="7" width="12" style="454" hidden="1" customWidth="1"/>
    <col min="8" max="8" width="12.5546875" style="454" hidden="1" customWidth="1"/>
    <col min="9" max="9" width="12.21875" style="454" hidden="1" customWidth="1"/>
    <col min="10" max="10" width="12.6640625" style="454" customWidth="1"/>
    <col min="11" max="11" width="12.21875" style="454" hidden="1" customWidth="1"/>
    <col min="12" max="12" width="11.5546875" style="454" hidden="1" customWidth="1"/>
    <col min="13" max="13" width="12.5546875" style="454" hidden="1" customWidth="1"/>
    <col min="14" max="14" width="17.21875" style="454" bestFit="1" customWidth="1"/>
    <col min="15" max="16" width="22.21875" style="482" customWidth="1"/>
    <col min="17" max="17" width="17.21875" style="482" hidden="1" customWidth="1"/>
    <col min="18" max="18" width="15.109375" style="482" hidden="1" customWidth="1"/>
    <col min="19" max="19" width="10.44140625" style="482" hidden="1" customWidth="1"/>
    <col min="20" max="20" width="22.21875" style="482" customWidth="1"/>
    <col min="21" max="21" width="4.88671875" style="482" customWidth="1"/>
    <col min="22" max="24" width="13.33203125" style="482" customWidth="1"/>
    <col min="25" max="256" width="8.88671875" style="482"/>
    <col min="257" max="257" width="56.21875" style="482" bestFit="1" customWidth="1"/>
    <col min="258" max="258" width="14.109375" style="482" customWidth="1"/>
    <col min="259" max="269" width="0" style="482" hidden="1" customWidth="1"/>
    <col min="270" max="270" width="16.33203125" style="482" customWidth="1"/>
    <col min="271" max="276" width="0" style="482" hidden="1" customWidth="1"/>
    <col min="277" max="277" width="4.88671875" style="482" customWidth="1"/>
    <col min="278" max="512" width="8.88671875" style="482"/>
    <col min="513" max="513" width="56.21875" style="482" bestFit="1" customWidth="1"/>
    <col min="514" max="514" width="14.109375" style="482" customWidth="1"/>
    <col min="515" max="525" width="0" style="482" hidden="1" customWidth="1"/>
    <col min="526" max="526" width="16.33203125" style="482" customWidth="1"/>
    <col min="527" max="532" width="0" style="482" hidden="1" customWidth="1"/>
    <col min="533" max="533" width="4.88671875" style="482" customWidth="1"/>
    <col min="534" max="768" width="8.88671875" style="482"/>
    <col min="769" max="769" width="56.21875" style="482" bestFit="1" customWidth="1"/>
    <col min="770" max="770" width="14.109375" style="482" customWidth="1"/>
    <col min="771" max="781" width="0" style="482" hidden="1" customWidth="1"/>
    <col min="782" max="782" width="16.33203125" style="482" customWidth="1"/>
    <col min="783" max="788" width="0" style="482" hidden="1" customWidth="1"/>
    <col min="789" max="789" width="4.88671875" style="482" customWidth="1"/>
    <col min="790" max="1024" width="8.88671875" style="482"/>
    <col min="1025" max="1025" width="56.21875" style="482" bestFit="1" customWidth="1"/>
    <col min="1026" max="1026" width="14.109375" style="482" customWidth="1"/>
    <col min="1027" max="1037" width="0" style="482" hidden="1" customWidth="1"/>
    <col min="1038" max="1038" width="16.33203125" style="482" customWidth="1"/>
    <col min="1039" max="1044" width="0" style="482" hidden="1" customWidth="1"/>
    <col min="1045" max="1045" width="4.88671875" style="482" customWidth="1"/>
    <col min="1046" max="1280" width="8.88671875" style="482"/>
    <col min="1281" max="1281" width="56.21875" style="482" bestFit="1" customWidth="1"/>
    <col min="1282" max="1282" width="14.109375" style="482" customWidth="1"/>
    <col min="1283" max="1293" width="0" style="482" hidden="1" customWidth="1"/>
    <col min="1294" max="1294" width="16.33203125" style="482" customWidth="1"/>
    <col min="1295" max="1300" width="0" style="482" hidden="1" customWidth="1"/>
    <col min="1301" max="1301" width="4.88671875" style="482" customWidth="1"/>
    <col min="1302" max="1536" width="8.88671875" style="482"/>
    <col min="1537" max="1537" width="56.21875" style="482" bestFit="1" customWidth="1"/>
    <col min="1538" max="1538" width="14.109375" style="482" customWidth="1"/>
    <col min="1539" max="1549" width="0" style="482" hidden="1" customWidth="1"/>
    <col min="1550" max="1550" width="16.33203125" style="482" customWidth="1"/>
    <col min="1551" max="1556" width="0" style="482" hidden="1" customWidth="1"/>
    <col min="1557" max="1557" width="4.88671875" style="482" customWidth="1"/>
    <col min="1558" max="1792" width="8.88671875" style="482"/>
    <col min="1793" max="1793" width="56.21875" style="482" bestFit="1" customWidth="1"/>
    <col min="1794" max="1794" width="14.109375" style="482" customWidth="1"/>
    <col min="1795" max="1805" width="0" style="482" hidden="1" customWidth="1"/>
    <col min="1806" max="1806" width="16.33203125" style="482" customWidth="1"/>
    <col min="1807" max="1812" width="0" style="482" hidden="1" customWidth="1"/>
    <col min="1813" max="1813" width="4.88671875" style="482" customWidth="1"/>
    <col min="1814" max="2048" width="8.88671875" style="482"/>
    <col min="2049" max="2049" width="56.21875" style="482" bestFit="1" customWidth="1"/>
    <col min="2050" max="2050" width="14.109375" style="482" customWidth="1"/>
    <col min="2051" max="2061" width="0" style="482" hidden="1" customWidth="1"/>
    <col min="2062" max="2062" width="16.33203125" style="482" customWidth="1"/>
    <col min="2063" max="2068" width="0" style="482" hidden="1" customWidth="1"/>
    <col min="2069" max="2069" width="4.88671875" style="482" customWidth="1"/>
    <col min="2070" max="2304" width="8.88671875" style="482"/>
    <col min="2305" max="2305" width="56.21875" style="482" bestFit="1" customWidth="1"/>
    <col min="2306" max="2306" width="14.109375" style="482" customWidth="1"/>
    <col min="2307" max="2317" width="0" style="482" hidden="1" customWidth="1"/>
    <col min="2318" max="2318" width="16.33203125" style="482" customWidth="1"/>
    <col min="2319" max="2324" width="0" style="482" hidden="1" customWidth="1"/>
    <col min="2325" max="2325" width="4.88671875" style="482" customWidth="1"/>
    <col min="2326" max="2560" width="8.88671875" style="482"/>
    <col min="2561" max="2561" width="56.21875" style="482" bestFit="1" customWidth="1"/>
    <col min="2562" max="2562" width="14.109375" style="482" customWidth="1"/>
    <col min="2563" max="2573" width="0" style="482" hidden="1" customWidth="1"/>
    <col min="2574" max="2574" width="16.33203125" style="482" customWidth="1"/>
    <col min="2575" max="2580" width="0" style="482" hidden="1" customWidth="1"/>
    <col min="2581" max="2581" width="4.88671875" style="482" customWidth="1"/>
    <col min="2582" max="2816" width="8.88671875" style="482"/>
    <col min="2817" max="2817" width="56.21875" style="482" bestFit="1" customWidth="1"/>
    <col min="2818" max="2818" width="14.109375" style="482" customWidth="1"/>
    <col min="2819" max="2829" width="0" style="482" hidden="1" customWidth="1"/>
    <col min="2830" max="2830" width="16.33203125" style="482" customWidth="1"/>
    <col min="2831" max="2836" width="0" style="482" hidden="1" customWidth="1"/>
    <col min="2837" max="2837" width="4.88671875" style="482" customWidth="1"/>
    <col min="2838" max="3072" width="8.88671875" style="482"/>
    <col min="3073" max="3073" width="56.21875" style="482" bestFit="1" customWidth="1"/>
    <col min="3074" max="3074" width="14.109375" style="482" customWidth="1"/>
    <col min="3075" max="3085" width="0" style="482" hidden="1" customWidth="1"/>
    <col min="3086" max="3086" width="16.33203125" style="482" customWidth="1"/>
    <col min="3087" max="3092" width="0" style="482" hidden="1" customWidth="1"/>
    <col min="3093" max="3093" width="4.88671875" style="482" customWidth="1"/>
    <col min="3094" max="3328" width="8.88671875" style="482"/>
    <col min="3329" max="3329" width="56.21875" style="482" bestFit="1" customWidth="1"/>
    <col min="3330" max="3330" width="14.109375" style="482" customWidth="1"/>
    <col min="3331" max="3341" width="0" style="482" hidden="1" customWidth="1"/>
    <col min="3342" max="3342" width="16.33203125" style="482" customWidth="1"/>
    <col min="3343" max="3348" width="0" style="482" hidden="1" customWidth="1"/>
    <col min="3349" max="3349" width="4.88671875" style="482" customWidth="1"/>
    <col min="3350" max="3584" width="8.88671875" style="482"/>
    <col min="3585" max="3585" width="56.21875" style="482" bestFit="1" customWidth="1"/>
    <col min="3586" max="3586" width="14.109375" style="482" customWidth="1"/>
    <col min="3587" max="3597" width="0" style="482" hidden="1" customWidth="1"/>
    <col min="3598" max="3598" width="16.33203125" style="482" customWidth="1"/>
    <col min="3599" max="3604" width="0" style="482" hidden="1" customWidth="1"/>
    <col min="3605" max="3605" width="4.88671875" style="482" customWidth="1"/>
    <col min="3606" max="3840" width="8.88671875" style="482"/>
    <col min="3841" max="3841" width="56.21875" style="482" bestFit="1" customWidth="1"/>
    <col min="3842" max="3842" width="14.109375" style="482" customWidth="1"/>
    <col min="3843" max="3853" width="0" style="482" hidden="1" customWidth="1"/>
    <col min="3854" max="3854" width="16.33203125" style="482" customWidth="1"/>
    <col min="3855" max="3860" width="0" style="482" hidden="1" customWidth="1"/>
    <col min="3861" max="3861" width="4.88671875" style="482" customWidth="1"/>
    <col min="3862" max="4096" width="8.88671875" style="482"/>
    <col min="4097" max="4097" width="56.21875" style="482" bestFit="1" customWidth="1"/>
    <col min="4098" max="4098" width="14.109375" style="482" customWidth="1"/>
    <col min="4099" max="4109" width="0" style="482" hidden="1" customWidth="1"/>
    <col min="4110" max="4110" width="16.33203125" style="482" customWidth="1"/>
    <col min="4111" max="4116" width="0" style="482" hidden="1" customWidth="1"/>
    <col min="4117" max="4117" width="4.88671875" style="482" customWidth="1"/>
    <col min="4118" max="4352" width="8.88671875" style="482"/>
    <col min="4353" max="4353" width="56.21875" style="482" bestFit="1" customWidth="1"/>
    <col min="4354" max="4354" width="14.109375" style="482" customWidth="1"/>
    <col min="4355" max="4365" width="0" style="482" hidden="1" customWidth="1"/>
    <col min="4366" max="4366" width="16.33203125" style="482" customWidth="1"/>
    <col min="4367" max="4372" width="0" style="482" hidden="1" customWidth="1"/>
    <col min="4373" max="4373" width="4.88671875" style="482" customWidth="1"/>
    <col min="4374" max="4608" width="8.88671875" style="482"/>
    <col min="4609" max="4609" width="56.21875" style="482" bestFit="1" customWidth="1"/>
    <col min="4610" max="4610" width="14.109375" style="482" customWidth="1"/>
    <col min="4611" max="4621" width="0" style="482" hidden="1" customWidth="1"/>
    <col min="4622" max="4622" width="16.33203125" style="482" customWidth="1"/>
    <col min="4623" max="4628" width="0" style="482" hidden="1" customWidth="1"/>
    <col min="4629" max="4629" width="4.88671875" style="482" customWidth="1"/>
    <col min="4630" max="4864" width="8.88671875" style="482"/>
    <col min="4865" max="4865" width="56.21875" style="482" bestFit="1" customWidth="1"/>
    <col min="4866" max="4866" width="14.109375" style="482" customWidth="1"/>
    <col min="4867" max="4877" width="0" style="482" hidden="1" customWidth="1"/>
    <col min="4878" max="4878" width="16.33203125" style="482" customWidth="1"/>
    <col min="4879" max="4884" width="0" style="482" hidden="1" customWidth="1"/>
    <col min="4885" max="4885" width="4.88671875" style="482" customWidth="1"/>
    <col min="4886" max="5120" width="8.88671875" style="482"/>
    <col min="5121" max="5121" width="56.21875" style="482" bestFit="1" customWidth="1"/>
    <col min="5122" max="5122" width="14.109375" style="482" customWidth="1"/>
    <col min="5123" max="5133" width="0" style="482" hidden="1" customWidth="1"/>
    <col min="5134" max="5134" width="16.33203125" style="482" customWidth="1"/>
    <col min="5135" max="5140" width="0" style="482" hidden="1" customWidth="1"/>
    <col min="5141" max="5141" width="4.88671875" style="482" customWidth="1"/>
    <col min="5142" max="5376" width="8.88671875" style="482"/>
    <col min="5377" max="5377" width="56.21875" style="482" bestFit="1" customWidth="1"/>
    <col min="5378" max="5378" width="14.109375" style="482" customWidth="1"/>
    <col min="5379" max="5389" width="0" style="482" hidden="1" customWidth="1"/>
    <col min="5390" max="5390" width="16.33203125" style="482" customWidth="1"/>
    <col min="5391" max="5396" width="0" style="482" hidden="1" customWidth="1"/>
    <col min="5397" max="5397" width="4.88671875" style="482" customWidth="1"/>
    <col min="5398" max="5632" width="8.88671875" style="482"/>
    <col min="5633" max="5633" width="56.21875" style="482" bestFit="1" customWidth="1"/>
    <col min="5634" max="5634" width="14.109375" style="482" customWidth="1"/>
    <col min="5635" max="5645" width="0" style="482" hidden="1" customWidth="1"/>
    <col min="5646" max="5646" width="16.33203125" style="482" customWidth="1"/>
    <col min="5647" max="5652" width="0" style="482" hidden="1" customWidth="1"/>
    <col min="5653" max="5653" width="4.88671875" style="482" customWidth="1"/>
    <col min="5654" max="5888" width="8.88671875" style="482"/>
    <col min="5889" max="5889" width="56.21875" style="482" bestFit="1" customWidth="1"/>
    <col min="5890" max="5890" width="14.109375" style="482" customWidth="1"/>
    <col min="5891" max="5901" width="0" style="482" hidden="1" customWidth="1"/>
    <col min="5902" max="5902" width="16.33203125" style="482" customWidth="1"/>
    <col min="5903" max="5908" width="0" style="482" hidden="1" customWidth="1"/>
    <col min="5909" max="5909" width="4.88671875" style="482" customWidth="1"/>
    <col min="5910" max="6144" width="8.88671875" style="482"/>
    <col min="6145" max="6145" width="56.21875" style="482" bestFit="1" customWidth="1"/>
    <col min="6146" max="6146" width="14.109375" style="482" customWidth="1"/>
    <col min="6147" max="6157" width="0" style="482" hidden="1" customWidth="1"/>
    <col min="6158" max="6158" width="16.33203125" style="482" customWidth="1"/>
    <col min="6159" max="6164" width="0" style="482" hidden="1" customWidth="1"/>
    <col min="6165" max="6165" width="4.88671875" style="482" customWidth="1"/>
    <col min="6166" max="6400" width="8.88671875" style="482"/>
    <col min="6401" max="6401" width="56.21875" style="482" bestFit="1" customWidth="1"/>
    <col min="6402" max="6402" width="14.109375" style="482" customWidth="1"/>
    <col min="6403" max="6413" width="0" style="482" hidden="1" customWidth="1"/>
    <col min="6414" max="6414" width="16.33203125" style="482" customWidth="1"/>
    <col min="6415" max="6420" width="0" style="482" hidden="1" customWidth="1"/>
    <col min="6421" max="6421" width="4.88671875" style="482" customWidth="1"/>
    <col min="6422" max="6656" width="8.88671875" style="482"/>
    <col min="6657" max="6657" width="56.21875" style="482" bestFit="1" customWidth="1"/>
    <col min="6658" max="6658" width="14.109375" style="482" customWidth="1"/>
    <col min="6659" max="6669" width="0" style="482" hidden="1" customWidth="1"/>
    <col min="6670" max="6670" width="16.33203125" style="482" customWidth="1"/>
    <col min="6671" max="6676" width="0" style="482" hidden="1" customWidth="1"/>
    <col min="6677" max="6677" width="4.88671875" style="482" customWidth="1"/>
    <col min="6678" max="6912" width="8.88671875" style="482"/>
    <col min="6913" max="6913" width="56.21875" style="482" bestFit="1" customWidth="1"/>
    <col min="6914" max="6914" width="14.109375" style="482" customWidth="1"/>
    <col min="6915" max="6925" width="0" style="482" hidden="1" customWidth="1"/>
    <col min="6926" max="6926" width="16.33203125" style="482" customWidth="1"/>
    <col min="6927" max="6932" width="0" style="482" hidden="1" customWidth="1"/>
    <col min="6933" max="6933" width="4.88671875" style="482" customWidth="1"/>
    <col min="6934" max="7168" width="8.88671875" style="482"/>
    <col min="7169" max="7169" width="56.21875" style="482" bestFit="1" customWidth="1"/>
    <col min="7170" max="7170" width="14.109375" style="482" customWidth="1"/>
    <col min="7171" max="7181" width="0" style="482" hidden="1" customWidth="1"/>
    <col min="7182" max="7182" width="16.33203125" style="482" customWidth="1"/>
    <col min="7183" max="7188" width="0" style="482" hidden="1" customWidth="1"/>
    <col min="7189" max="7189" width="4.88671875" style="482" customWidth="1"/>
    <col min="7190" max="7424" width="8.88671875" style="482"/>
    <col min="7425" max="7425" width="56.21875" style="482" bestFit="1" customWidth="1"/>
    <col min="7426" max="7426" width="14.109375" style="482" customWidth="1"/>
    <col min="7427" max="7437" width="0" style="482" hidden="1" customWidth="1"/>
    <col min="7438" max="7438" width="16.33203125" style="482" customWidth="1"/>
    <col min="7439" max="7444" width="0" style="482" hidden="1" customWidth="1"/>
    <col min="7445" max="7445" width="4.88671875" style="482" customWidth="1"/>
    <col min="7446" max="7680" width="8.88671875" style="482"/>
    <col min="7681" max="7681" width="56.21875" style="482" bestFit="1" customWidth="1"/>
    <col min="7682" max="7682" width="14.109375" style="482" customWidth="1"/>
    <col min="7683" max="7693" width="0" style="482" hidden="1" customWidth="1"/>
    <col min="7694" max="7694" width="16.33203125" style="482" customWidth="1"/>
    <col min="7695" max="7700" width="0" style="482" hidden="1" customWidth="1"/>
    <col min="7701" max="7701" width="4.88671875" style="482" customWidth="1"/>
    <col min="7702" max="7936" width="8.88671875" style="482"/>
    <col min="7937" max="7937" width="56.21875" style="482" bestFit="1" customWidth="1"/>
    <col min="7938" max="7938" width="14.109375" style="482" customWidth="1"/>
    <col min="7939" max="7949" width="0" style="482" hidden="1" customWidth="1"/>
    <col min="7950" max="7950" width="16.33203125" style="482" customWidth="1"/>
    <col min="7951" max="7956" width="0" style="482" hidden="1" customWidth="1"/>
    <col min="7957" max="7957" width="4.88671875" style="482" customWidth="1"/>
    <col min="7958" max="8192" width="8.88671875" style="482"/>
    <col min="8193" max="8193" width="56.21875" style="482" bestFit="1" customWidth="1"/>
    <col min="8194" max="8194" width="14.109375" style="482" customWidth="1"/>
    <col min="8195" max="8205" width="0" style="482" hidden="1" customWidth="1"/>
    <col min="8206" max="8206" width="16.33203125" style="482" customWidth="1"/>
    <col min="8207" max="8212" width="0" style="482" hidden="1" customWidth="1"/>
    <col min="8213" max="8213" width="4.88671875" style="482" customWidth="1"/>
    <col min="8214" max="8448" width="8.88671875" style="482"/>
    <col min="8449" max="8449" width="56.21875" style="482" bestFit="1" customWidth="1"/>
    <col min="8450" max="8450" width="14.109375" style="482" customWidth="1"/>
    <col min="8451" max="8461" width="0" style="482" hidden="1" customWidth="1"/>
    <col min="8462" max="8462" width="16.33203125" style="482" customWidth="1"/>
    <col min="8463" max="8468" width="0" style="482" hidden="1" customWidth="1"/>
    <col min="8469" max="8469" width="4.88671875" style="482" customWidth="1"/>
    <col min="8470" max="8704" width="8.88671875" style="482"/>
    <col min="8705" max="8705" width="56.21875" style="482" bestFit="1" customWidth="1"/>
    <col min="8706" max="8706" width="14.109375" style="482" customWidth="1"/>
    <col min="8707" max="8717" width="0" style="482" hidden="1" customWidth="1"/>
    <col min="8718" max="8718" width="16.33203125" style="482" customWidth="1"/>
    <col min="8719" max="8724" width="0" style="482" hidden="1" customWidth="1"/>
    <col min="8725" max="8725" width="4.88671875" style="482" customWidth="1"/>
    <col min="8726" max="8960" width="8.88671875" style="482"/>
    <col min="8961" max="8961" width="56.21875" style="482" bestFit="1" customWidth="1"/>
    <col min="8962" max="8962" width="14.109375" style="482" customWidth="1"/>
    <col min="8963" max="8973" width="0" style="482" hidden="1" customWidth="1"/>
    <col min="8974" max="8974" width="16.33203125" style="482" customWidth="1"/>
    <col min="8975" max="8980" width="0" style="482" hidden="1" customWidth="1"/>
    <col min="8981" max="8981" width="4.88671875" style="482" customWidth="1"/>
    <col min="8982" max="9216" width="8.88671875" style="482"/>
    <col min="9217" max="9217" width="56.21875" style="482" bestFit="1" customWidth="1"/>
    <col min="9218" max="9218" width="14.109375" style="482" customWidth="1"/>
    <col min="9219" max="9229" width="0" style="482" hidden="1" customWidth="1"/>
    <col min="9230" max="9230" width="16.33203125" style="482" customWidth="1"/>
    <col min="9231" max="9236" width="0" style="482" hidden="1" customWidth="1"/>
    <col min="9237" max="9237" width="4.88671875" style="482" customWidth="1"/>
    <col min="9238" max="9472" width="8.88671875" style="482"/>
    <col min="9473" max="9473" width="56.21875" style="482" bestFit="1" customWidth="1"/>
    <col min="9474" max="9474" width="14.109375" style="482" customWidth="1"/>
    <col min="9475" max="9485" width="0" style="482" hidden="1" customWidth="1"/>
    <col min="9486" max="9486" width="16.33203125" style="482" customWidth="1"/>
    <col min="9487" max="9492" width="0" style="482" hidden="1" customWidth="1"/>
    <col min="9493" max="9493" width="4.88671875" style="482" customWidth="1"/>
    <col min="9494" max="9728" width="8.88671875" style="482"/>
    <col min="9729" max="9729" width="56.21875" style="482" bestFit="1" customWidth="1"/>
    <col min="9730" max="9730" width="14.109375" style="482" customWidth="1"/>
    <col min="9731" max="9741" width="0" style="482" hidden="1" customWidth="1"/>
    <col min="9742" max="9742" width="16.33203125" style="482" customWidth="1"/>
    <col min="9743" max="9748" width="0" style="482" hidden="1" customWidth="1"/>
    <col min="9749" max="9749" width="4.88671875" style="482" customWidth="1"/>
    <col min="9750" max="9984" width="8.88671875" style="482"/>
    <col min="9985" max="9985" width="56.21875" style="482" bestFit="1" customWidth="1"/>
    <col min="9986" max="9986" width="14.109375" style="482" customWidth="1"/>
    <col min="9987" max="9997" width="0" style="482" hidden="1" customWidth="1"/>
    <col min="9998" max="9998" width="16.33203125" style="482" customWidth="1"/>
    <col min="9999" max="10004" width="0" style="482" hidden="1" customWidth="1"/>
    <col min="10005" max="10005" width="4.88671875" style="482" customWidth="1"/>
    <col min="10006" max="10240" width="8.88671875" style="482"/>
    <col min="10241" max="10241" width="56.21875" style="482" bestFit="1" customWidth="1"/>
    <col min="10242" max="10242" width="14.109375" style="482" customWidth="1"/>
    <col min="10243" max="10253" width="0" style="482" hidden="1" customWidth="1"/>
    <col min="10254" max="10254" width="16.33203125" style="482" customWidth="1"/>
    <col min="10255" max="10260" width="0" style="482" hidden="1" customWidth="1"/>
    <col min="10261" max="10261" width="4.88671875" style="482" customWidth="1"/>
    <col min="10262" max="10496" width="8.88671875" style="482"/>
    <col min="10497" max="10497" width="56.21875" style="482" bestFit="1" customWidth="1"/>
    <col min="10498" max="10498" width="14.109375" style="482" customWidth="1"/>
    <col min="10499" max="10509" width="0" style="482" hidden="1" customWidth="1"/>
    <col min="10510" max="10510" width="16.33203125" style="482" customWidth="1"/>
    <col min="10511" max="10516" width="0" style="482" hidden="1" customWidth="1"/>
    <col min="10517" max="10517" width="4.88671875" style="482" customWidth="1"/>
    <col min="10518" max="10752" width="8.88671875" style="482"/>
    <col min="10753" max="10753" width="56.21875" style="482" bestFit="1" customWidth="1"/>
    <col min="10754" max="10754" width="14.109375" style="482" customWidth="1"/>
    <col min="10755" max="10765" width="0" style="482" hidden="1" customWidth="1"/>
    <col min="10766" max="10766" width="16.33203125" style="482" customWidth="1"/>
    <col min="10767" max="10772" width="0" style="482" hidden="1" customWidth="1"/>
    <col min="10773" max="10773" width="4.88671875" style="482" customWidth="1"/>
    <col min="10774" max="11008" width="8.88671875" style="482"/>
    <col min="11009" max="11009" width="56.21875" style="482" bestFit="1" customWidth="1"/>
    <col min="11010" max="11010" width="14.109375" style="482" customWidth="1"/>
    <col min="11011" max="11021" width="0" style="482" hidden="1" customWidth="1"/>
    <col min="11022" max="11022" width="16.33203125" style="482" customWidth="1"/>
    <col min="11023" max="11028" width="0" style="482" hidden="1" customWidth="1"/>
    <col min="11029" max="11029" width="4.88671875" style="482" customWidth="1"/>
    <col min="11030" max="11264" width="8.88671875" style="482"/>
    <col min="11265" max="11265" width="56.21875" style="482" bestFit="1" customWidth="1"/>
    <col min="11266" max="11266" width="14.109375" style="482" customWidth="1"/>
    <col min="11267" max="11277" width="0" style="482" hidden="1" customWidth="1"/>
    <col min="11278" max="11278" width="16.33203125" style="482" customWidth="1"/>
    <col min="11279" max="11284" width="0" style="482" hidden="1" customWidth="1"/>
    <col min="11285" max="11285" width="4.88671875" style="482" customWidth="1"/>
    <col min="11286" max="11520" width="8.88671875" style="482"/>
    <col min="11521" max="11521" width="56.21875" style="482" bestFit="1" customWidth="1"/>
    <col min="11522" max="11522" width="14.109375" style="482" customWidth="1"/>
    <col min="11523" max="11533" width="0" style="482" hidden="1" customWidth="1"/>
    <col min="11534" max="11534" width="16.33203125" style="482" customWidth="1"/>
    <col min="11535" max="11540" width="0" style="482" hidden="1" customWidth="1"/>
    <col min="11541" max="11541" width="4.88671875" style="482" customWidth="1"/>
    <col min="11542" max="11776" width="8.88671875" style="482"/>
    <col min="11777" max="11777" width="56.21875" style="482" bestFit="1" customWidth="1"/>
    <col min="11778" max="11778" width="14.109375" style="482" customWidth="1"/>
    <col min="11779" max="11789" width="0" style="482" hidden="1" customWidth="1"/>
    <col min="11790" max="11790" width="16.33203125" style="482" customWidth="1"/>
    <col min="11791" max="11796" width="0" style="482" hidden="1" customWidth="1"/>
    <col min="11797" max="11797" width="4.88671875" style="482" customWidth="1"/>
    <col min="11798" max="12032" width="8.88671875" style="482"/>
    <col min="12033" max="12033" width="56.21875" style="482" bestFit="1" customWidth="1"/>
    <col min="12034" max="12034" width="14.109375" style="482" customWidth="1"/>
    <col min="12035" max="12045" width="0" style="482" hidden="1" customWidth="1"/>
    <col min="12046" max="12046" width="16.33203125" style="482" customWidth="1"/>
    <col min="12047" max="12052" width="0" style="482" hidden="1" customWidth="1"/>
    <col min="12053" max="12053" width="4.88671875" style="482" customWidth="1"/>
    <col min="12054" max="12288" width="8.88671875" style="482"/>
    <col min="12289" max="12289" width="56.21875" style="482" bestFit="1" customWidth="1"/>
    <col min="12290" max="12290" width="14.109375" style="482" customWidth="1"/>
    <col min="12291" max="12301" width="0" style="482" hidden="1" customWidth="1"/>
    <col min="12302" max="12302" width="16.33203125" style="482" customWidth="1"/>
    <col min="12303" max="12308" width="0" style="482" hidden="1" customWidth="1"/>
    <col min="12309" max="12309" width="4.88671875" style="482" customWidth="1"/>
    <col min="12310" max="12544" width="8.88671875" style="482"/>
    <col min="12545" max="12545" width="56.21875" style="482" bestFit="1" customWidth="1"/>
    <col min="12546" max="12546" width="14.109375" style="482" customWidth="1"/>
    <col min="12547" max="12557" width="0" style="482" hidden="1" customWidth="1"/>
    <col min="12558" max="12558" width="16.33203125" style="482" customWidth="1"/>
    <col min="12559" max="12564" width="0" style="482" hidden="1" customWidth="1"/>
    <col min="12565" max="12565" width="4.88671875" style="482" customWidth="1"/>
    <col min="12566" max="12800" width="8.88671875" style="482"/>
    <col min="12801" max="12801" width="56.21875" style="482" bestFit="1" customWidth="1"/>
    <col min="12802" max="12802" width="14.109375" style="482" customWidth="1"/>
    <col min="12803" max="12813" width="0" style="482" hidden="1" customWidth="1"/>
    <col min="12814" max="12814" width="16.33203125" style="482" customWidth="1"/>
    <col min="12815" max="12820" width="0" style="482" hidden="1" customWidth="1"/>
    <col min="12821" max="12821" width="4.88671875" style="482" customWidth="1"/>
    <col min="12822" max="13056" width="8.88671875" style="482"/>
    <col min="13057" max="13057" width="56.21875" style="482" bestFit="1" customWidth="1"/>
    <col min="13058" max="13058" width="14.109375" style="482" customWidth="1"/>
    <col min="13059" max="13069" width="0" style="482" hidden="1" customWidth="1"/>
    <col min="13070" max="13070" width="16.33203125" style="482" customWidth="1"/>
    <col min="13071" max="13076" width="0" style="482" hidden="1" customWidth="1"/>
    <col min="13077" max="13077" width="4.88671875" style="482" customWidth="1"/>
    <col min="13078" max="13312" width="8.88671875" style="482"/>
    <col min="13313" max="13313" width="56.21875" style="482" bestFit="1" customWidth="1"/>
    <col min="13314" max="13314" width="14.109375" style="482" customWidth="1"/>
    <col min="13315" max="13325" width="0" style="482" hidden="1" customWidth="1"/>
    <col min="13326" max="13326" width="16.33203125" style="482" customWidth="1"/>
    <col min="13327" max="13332" width="0" style="482" hidden="1" customWidth="1"/>
    <col min="13333" max="13333" width="4.88671875" style="482" customWidth="1"/>
    <col min="13334" max="13568" width="8.88671875" style="482"/>
    <col min="13569" max="13569" width="56.21875" style="482" bestFit="1" customWidth="1"/>
    <col min="13570" max="13570" width="14.109375" style="482" customWidth="1"/>
    <col min="13571" max="13581" width="0" style="482" hidden="1" customWidth="1"/>
    <col min="13582" max="13582" width="16.33203125" style="482" customWidth="1"/>
    <col min="13583" max="13588" width="0" style="482" hidden="1" customWidth="1"/>
    <col min="13589" max="13589" width="4.88671875" style="482" customWidth="1"/>
    <col min="13590" max="13824" width="8.88671875" style="482"/>
    <col min="13825" max="13825" width="56.21875" style="482" bestFit="1" customWidth="1"/>
    <col min="13826" max="13826" width="14.109375" style="482" customWidth="1"/>
    <col min="13827" max="13837" width="0" style="482" hidden="1" customWidth="1"/>
    <col min="13838" max="13838" width="16.33203125" style="482" customWidth="1"/>
    <col min="13839" max="13844" width="0" style="482" hidden="1" customWidth="1"/>
    <col min="13845" max="13845" width="4.88671875" style="482" customWidth="1"/>
    <col min="13846" max="14080" width="8.88671875" style="482"/>
    <col min="14081" max="14081" width="56.21875" style="482" bestFit="1" customWidth="1"/>
    <col min="14082" max="14082" width="14.109375" style="482" customWidth="1"/>
    <col min="14083" max="14093" width="0" style="482" hidden="1" customWidth="1"/>
    <col min="14094" max="14094" width="16.33203125" style="482" customWidth="1"/>
    <col min="14095" max="14100" width="0" style="482" hidden="1" customWidth="1"/>
    <col min="14101" max="14101" width="4.88671875" style="482" customWidth="1"/>
    <col min="14102" max="14336" width="8.88671875" style="482"/>
    <col min="14337" max="14337" width="56.21875" style="482" bestFit="1" customWidth="1"/>
    <col min="14338" max="14338" width="14.109375" style="482" customWidth="1"/>
    <col min="14339" max="14349" width="0" style="482" hidden="1" customWidth="1"/>
    <col min="14350" max="14350" width="16.33203125" style="482" customWidth="1"/>
    <col min="14351" max="14356" width="0" style="482" hidden="1" customWidth="1"/>
    <col min="14357" max="14357" width="4.88671875" style="482" customWidth="1"/>
    <col min="14358" max="14592" width="8.88671875" style="482"/>
    <col min="14593" max="14593" width="56.21875" style="482" bestFit="1" customWidth="1"/>
    <col min="14594" max="14594" width="14.109375" style="482" customWidth="1"/>
    <col min="14595" max="14605" width="0" style="482" hidden="1" customWidth="1"/>
    <col min="14606" max="14606" width="16.33203125" style="482" customWidth="1"/>
    <col min="14607" max="14612" width="0" style="482" hidden="1" customWidth="1"/>
    <col min="14613" max="14613" width="4.88671875" style="482" customWidth="1"/>
    <col min="14614" max="14848" width="8.88671875" style="482"/>
    <col min="14849" max="14849" width="56.21875" style="482" bestFit="1" customWidth="1"/>
    <col min="14850" max="14850" width="14.109375" style="482" customWidth="1"/>
    <col min="14851" max="14861" width="0" style="482" hidden="1" customWidth="1"/>
    <col min="14862" max="14862" width="16.33203125" style="482" customWidth="1"/>
    <col min="14863" max="14868" width="0" style="482" hidden="1" customWidth="1"/>
    <col min="14869" max="14869" width="4.88671875" style="482" customWidth="1"/>
    <col min="14870" max="15104" width="8.88671875" style="482"/>
    <col min="15105" max="15105" width="56.21875" style="482" bestFit="1" customWidth="1"/>
    <col min="15106" max="15106" width="14.109375" style="482" customWidth="1"/>
    <col min="15107" max="15117" width="0" style="482" hidden="1" customWidth="1"/>
    <col min="15118" max="15118" width="16.33203125" style="482" customWidth="1"/>
    <col min="15119" max="15124" width="0" style="482" hidden="1" customWidth="1"/>
    <col min="15125" max="15125" width="4.88671875" style="482" customWidth="1"/>
    <col min="15126" max="15360" width="8.88671875" style="482"/>
    <col min="15361" max="15361" width="56.21875" style="482" bestFit="1" customWidth="1"/>
    <col min="15362" max="15362" width="14.109375" style="482" customWidth="1"/>
    <col min="15363" max="15373" width="0" style="482" hidden="1" customWidth="1"/>
    <col min="15374" max="15374" width="16.33203125" style="482" customWidth="1"/>
    <col min="15375" max="15380" width="0" style="482" hidden="1" customWidth="1"/>
    <col min="15381" max="15381" width="4.88671875" style="482" customWidth="1"/>
    <col min="15382" max="15616" width="8.88671875" style="482"/>
    <col min="15617" max="15617" width="56.21875" style="482" bestFit="1" customWidth="1"/>
    <col min="15618" max="15618" width="14.109375" style="482" customWidth="1"/>
    <col min="15619" max="15629" width="0" style="482" hidden="1" customWidth="1"/>
    <col min="15630" max="15630" width="16.33203125" style="482" customWidth="1"/>
    <col min="15631" max="15636" width="0" style="482" hidden="1" customWidth="1"/>
    <col min="15637" max="15637" width="4.88671875" style="482" customWidth="1"/>
    <col min="15638" max="15872" width="8.88671875" style="482"/>
    <col min="15873" max="15873" width="56.21875" style="482" bestFit="1" customWidth="1"/>
    <col min="15874" max="15874" width="14.109375" style="482" customWidth="1"/>
    <col min="15875" max="15885" width="0" style="482" hidden="1" customWidth="1"/>
    <col min="15886" max="15886" width="16.33203125" style="482" customWidth="1"/>
    <col min="15887" max="15892" width="0" style="482" hidden="1" customWidth="1"/>
    <col min="15893" max="15893" width="4.88671875" style="482" customWidth="1"/>
    <col min="15894" max="16128" width="8.88671875" style="482"/>
    <col min="16129" max="16129" width="56.21875" style="482" bestFit="1" customWidth="1"/>
    <col min="16130" max="16130" width="14.109375" style="482" customWidth="1"/>
    <col min="16131" max="16141" width="0" style="482" hidden="1" customWidth="1"/>
    <col min="16142" max="16142" width="16.33203125" style="482" customWidth="1"/>
    <col min="16143" max="16148" width="0" style="482" hidden="1" customWidth="1"/>
    <col min="16149" max="16149" width="4.88671875" style="482" customWidth="1"/>
    <col min="16150" max="16384" width="8.88671875" style="482"/>
  </cols>
  <sheetData>
    <row r="1" spans="1:19" s="471" customFormat="1" ht="16.2">
      <c r="A1" s="579" t="s">
        <v>303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Q1" s="473"/>
      <c r="R1" s="474"/>
      <c r="S1" s="475"/>
    </row>
    <row r="2" spans="1:19" s="471" customFormat="1" ht="15.6">
      <c r="A2" s="581" t="s">
        <v>334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Q2" s="476"/>
      <c r="R2" s="477"/>
      <c r="S2" s="475"/>
    </row>
    <row r="3" spans="1:19" s="471" customFormat="1" ht="15.6">
      <c r="A3" s="577" t="str">
        <f>R4</f>
        <v>May 2017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Q3" s="476"/>
      <c r="R3" s="477"/>
      <c r="S3" s="475"/>
    </row>
    <row r="4" spans="1:19" s="471" customFormat="1">
      <c r="A4" s="478"/>
      <c r="B4" s="465"/>
      <c r="C4" s="465"/>
      <c r="D4" s="465"/>
      <c r="E4" s="465"/>
      <c r="F4" s="465"/>
      <c r="G4" s="465"/>
      <c r="H4" s="479"/>
      <c r="I4" s="479"/>
      <c r="J4" s="479"/>
      <c r="K4" s="446"/>
      <c r="L4" s="446"/>
      <c r="M4" s="446"/>
      <c r="N4" s="446"/>
      <c r="Q4" s="476" t="s">
        <v>400</v>
      </c>
      <c r="R4" s="477" t="str">
        <f>TEXT(S4,"mmmm yyyy")</f>
        <v>May 2017</v>
      </c>
      <c r="S4" s="453">
        <v>42886</v>
      </c>
    </row>
    <row r="5" spans="1:19">
      <c r="A5" s="480"/>
      <c r="B5" s="465"/>
      <c r="C5" s="465"/>
      <c r="D5" s="465"/>
      <c r="E5" s="465"/>
      <c r="F5" s="465"/>
      <c r="G5" s="465"/>
      <c r="H5" s="481"/>
      <c r="I5" s="481"/>
      <c r="J5" s="481"/>
      <c r="K5" s="465"/>
      <c r="L5" s="465"/>
      <c r="M5" s="465"/>
      <c r="N5" s="465"/>
      <c r="Q5" s="476" t="s">
        <v>407</v>
      </c>
      <c r="R5" s="477" t="str">
        <f>S5</f>
        <v>.</v>
      </c>
      <c r="S5" s="449" t="s">
        <v>402</v>
      </c>
    </row>
    <row r="6" spans="1:19" ht="15.6">
      <c r="A6" s="122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76" t="s">
        <v>403</v>
      </c>
      <c r="R6" s="477" t="str">
        <f>S6</f>
        <v>2017</v>
      </c>
      <c r="S6" s="449" t="s">
        <v>404</v>
      </c>
    </row>
    <row r="7" spans="1:19" s="484" customFormat="1" ht="16.2" thickBot="1">
      <c r="A7" s="123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Q7" s="485" t="s">
        <v>405</v>
      </c>
      <c r="R7" s="477" t="str">
        <f>TEXT(S7,"mmmm-dd-yyyy")</f>
        <v>May-31-2017</v>
      </c>
      <c r="S7" s="453">
        <f>S4</f>
        <v>42886</v>
      </c>
    </row>
    <row r="8" spans="1:19" ht="16.2" thickTop="1">
      <c r="A8" s="122"/>
      <c r="B8" s="107"/>
      <c r="C8" s="107"/>
      <c r="D8" s="107"/>
      <c r="E8" s="107"/>
      <c r="F8" s="107"/>
      <c r="G8" s="107"/>
      <c r="H8" s="124"/>
      <c r="I8" s="125"/>
      <c r="J8" s="125"/>
      <c r="K8" s="107"/>
      <c r="L8" s="107"/>
      <c r="M8" s="107"/>
      <c r="N8" s="107"/>
      <c r="Q8" s="485" t="s">
        <v>405</v>
      </c>
      <c r="R8" s="477" t="str">
        <f>TEXT(S8,"mm/dd/yy")</f>
        <v>05/31/17</v>
      </c>
      <c r="S8" s="453">
        <f>S4</f>
        <v>42886</v>
      </c>
    </row>
    <row r="9" spans="1:19" ht="16.2" thickBot="1">
      <c r="A9" s="534" t="s">
        <v>301</v>
      </c>
      <c r="B9" s="115">
        <v>0</v>
      </c>
      <c r="C9" s="113">
        <f>B9</f>
        <v>0</v>
      </c>
      <c r="D9" s="113">
        <f t="shared" ref="D9:N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Q9" s="476" t="s">
        <v>403</v>
      </c>
      <c r="R9" s="477">
        <f>S9</f>
        <v>17</v>
      </c>
      <c r="S9" s="449">
        <v>17</v>
      </c>
    </row>
    <row r="10" spans="1:19" ht="15.6">
      <c r="A10" s="122"/>
      <c r="B10" s="107"/>
      <c r="C10" s="107"/>
      <c r="D10" s="107"/>
      <c r="E10" s="107"/>
      <c r="F10" s="107"/>
      <c r="G10" s="107"/>
      <c r="H10" s="124"/>
      <c r="I10" s="124"/>
      <c r="J10" s="124"/>
      <c r="K10" s="107"/>
      <c r="L10" s="107"/>
      <c r="M10" s="107"/>
      <c r="N10" s="107"/>
      <c r="Q10" s="524" t="s">
        <v>406</v>
      </c>
      <c r="R10" s="525" t="str">
        <f>"0"&amp;S10</f>
        <v>016</v>
      </c>
      <c r="S10" s="449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24"/>
      <c r="I11" s="124"/>
      <c r="J11" s="124"/>
      <c r="K11" s="107"/>
      <c r="L11" s="107"/>
      <c r="M11" s="107"/>
      <c r="N11" s="107"/>
    </row>
    <row r="12" spans="1:19" ht="15.6">
      <c r="A12" s="122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9" ht="15.6">
      <c r="A13" s="122" t="s">
        <v>335</v>
      </c>
      <c r="B13" s="107">
        <v>107954</v>
      </c>
      <c r="C13" s="114">
        <v>77017.75</v>
      </c>
      <c r="D13" s="107">
        <v>173636</v>
      </c>
      <c r="E13" s="129">
        <v>233314.95</v>
      </c>
      <c r="F13" s="107">
        <v>237693</v>
      </c>
      <c r="G13" s="107">
        <v>172414.5</v>
      </c>
      <c r="H13" s="107">
        <v>172899.20000000001</v>
      </c>
      <c r="I13" s="107">
        <v>129478.5</v>
      </c>
      <c r="J13" s="107">
        <v>125905.3</v>
      </c>
      <c r="K13" s="107"/>
      <c r="L13" s="107"/>
      <c r="M13" s="107"/>
      <c r="N13" s="107">
        <f>SUM(B13:M13)</f>
        <v>1430313.2</v>
      </c>
    </row>
    <row r="14" spans="1:19" ht="15.6">
      <c r="A14" s="122" t="s">
        <v>336</v>
      </c>
      <c r="B14" s="107">
        <v>3900</v>
      </c>
      <c r="C14" s="114">
        <v>2962.5</v>
      </c>
      <c r="D14" s="107">
        <v>2537.5</v>
      </c>
      <c r="E14" s="129">
        <v>4375</v>
      </c>
      <c r="F14" s="107">
        <v>1605</v>
      </c>
      <c r="G14" s="107">
        <v>3100</v>
      </c>
      <c r="H14" s="107">
        <v>3419.5</v>
      </c>
      <c r="I14" s="107">
        <v>3147.5</v>
      </c>
      <c r="J14" s="107">
        <v>3175</v>
      </c>
      <c r="K14" s="107"/>
      <c r="L14" s="107"/>
      <c r="M14" s="107"/>
      <c r="N14" s="107">
        <f>SUM(B14:M14)</f>
        <v>28222</v>
      </c>
    </row>
    <row r="15" spans="1:19" ht="15.6">
      <c r="A15" s="122" t="s">
        <v>337</v>
      </c>
      <c r="B15" s="107">
        <v>10725</v>
      </c>
      <c r="C15" s="114">
        <v>12492.5</v>
      </c>
      <c r="D15" s="107">
        <v>17802.5</v>
      </c>
      <c r="E15" s="129">
        <v>14972.5</v>
      </c>
      <c r="F15" s="107">
        <v>12240</v>
      </c>
      <c r="G15" s="107">
        <v>8505</v>
      </c>
      <c r="H15" s="107">
        <v>11433.5</v>
      </c>
      <c r="I15" s="107">
        <v>9304.5</v>
      </c>
      <c r="J15" s="107">
        <v>15805</v>
      </c>
      <c r="K15" s="107"/>
      <c r="L15" s="107"/>
      <c r="M15" s="107"/>
      <c r="N15" s="107">
        <f>SUM(B15:M15)</f>
        <v>113280.5</v>
      </c>
    </row>
    <row r="16" spans="1:19" ht="15.6">
      <c r="A16" s="122"/>
      <c r="B16" s="107"/>
      <c r="C16" s="107"/>
      <c r="D16" s="137"/>
      <c r="E16" s="137"/>
      <c r="F16" s="137"/>
      <c r="G16" s="137"/>
      <c r="H16" s="124"/>
      <c r="I16" s="124"/>
      <c r="J16" s="124"/>
      <c r="K16" s="107"/>
      <c r="L16" s="107"/>
      <c r="M16" s="107"/>
      <c r="N16" s="107"/>
    </row>
    <row r="17" spans="1:14" ht="15.6">
      <c r="A17" s="122"/>
      <c r="B17" s="107"/>
      <c r="C17" s="107"/>
      <c r="D17" s="107"/>
      <c r="E17" s="107"/>
      <c r="F17" s="107"/>
      <c r="G17" s="107"/>
      <c r="H17" s="124"/>
      <c r="I17" s="124"/>
      <c r="J17" s="124"/>
      <c r="K17" s="107"/>
      <c r="L17" s="107"/>
      <c r="M17" s="107"/>
      <c r="N17" s="107"/>
    </row>
    <row r="18" spans="1:14" ht="15.6">
      <c r="A18" s="108" t="s">
        <v>295</v>
      </c>
      <c r="B18" s="116">
        <f t="shared" ref="B18:M18" si="1">SUM(B12:B17)</f>
        <v>122579</v>
      </c>
      <c r="C18" s="116">
        <f t="shared" si="1"/>
        <v>92472.75</v>
      </c>
      <c r="D18" s="116">
        <f t="shared" si="1"/>
        <v>193976</v>
      </c>
      <c r="E18" s="116">
        <f t="shared" si="1"/>
        <v>252662.45</v>
      </c>
      <c r="F18" s="116">
        <f t="shared" si="1"/>
        <v>251538</v>
      </c>
      <c r="G18" s="116">
        <f t="shared" si="1"/>
        <v>184019.5</v>
      </c>
      <c r="H18" s="116">
        <f t="shared" si="1"/>
        <v>187752.2</v>
      </c>
      <c r="I18" s="116">
        <f t="shared" si="1"/>
        <v>141930.5</v>
      </c>
      <c r="J18" s="116">
        <f t="shared" si="1"/>
        <v>144885.29999999999</v>
      </c>
      <c r="K18" s="116">
        <f t="shared" si="1"/>
        <v>0</v>
      </c>
      <c r="L18" s="116">
        <f t="shared" si="1"/>
        <v>0</v>
      </c>
      <c r="M18" s="116">
        <f t="shared" si="1"/>
        <v>0</v>
      </c>
      <c r="N18" s="116">
        <f>SUM(N12:N17)</f>
        <v>1571815.7</v>
      </c>
    </row>
    <row r="19" spans="1:14" ht="15.6">
      <c r="A19" s="122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.6">
      <c r="A20" s="106" t="s">
        <v>294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.6">
      <c r="A21" s="138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s="488" customFormat="1" ht="15.6">
      <c r="A22" s="138" t="s">
        <v>338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/>
      <c r="L22" s="114"/>
      <c r="M22" s="114"/>
      <c r="N22" s="114">
        <f>SUM(B22:M22)</f>
        <v>0</v>
      </c>
    </row>
    <row r="23" spans="1:14" ht="15.6">
      <c r="A23" s="13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 ht="15.6">
      <c r="A24" s="13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ht="15.6">
      <c r="A25" s="106" t="s">
        <v>292</v>
      </c>
      <c r="B25" s="116">
        <f t="shared" ref="B25:M25" si="2">SUM(B21:B24)</f>
        <v>0</v>
      </c>
      <c r="C25" s="116">
        <f t="shared" si="2"/>
        <v>0</v>
      </c>
      <c r="D25" s="116">
        <f t="shared" si="2"/>
        <v>0</v>
      </c>
      <c r="E25" s="116">
        <f t="shared" si="2"/>
        <v>0</v>
      </c>
      <c r="F25" s="116">
        <f t="shared" si="2"/>
        <v>0</v>
      </c>
      <c r="G25" s="116">
        <f t="shared" si="2"/>
        <v>0</v>
      </c>
      <c r="H25" s="116">
        <f t="shared" si="2"/>
        <v>0</v>
      </c>
      <c r="I25" s="116">
        <f t="shared" si="2"/>
        <v>0</v>
      </c>
      <c r="J25" s="116">
        <f t="shared" si="2"/>
        <v>0</v>
      </c>
      <c r="K25" s="116">
        <f t="shared" si="2"/>
        <v>0</v>
      </c>
      <c r="L25" s="116">
        <f t="shared" si="2"/>
        <v>0</v>
      </c>
      <c r="M25" s="116">
        <f t="shared" si="2"/>
        <v>0</v>
      </c>
      <c r="N25" s="116">
        <f>SUM(B25:M25)</f>
        <v>0</v>
      </c>
    </row>
    <row r="26" spans="1:14" ht="15.6">
      <c r="A26" s="122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ht="16.2" thickBot="1">
      <c r="A27" s="550" t="s">
        <v>291</v>
      </c>
      <c r="B27" s="549">
        <f t="shared" ref="B27:M27" si="3">+B9+B18+B25</f>
        <v>122579</v>
      </c>
      <c r="C27" s="549">
        <f t="shared" si="3"/>
        <v>92472.75</v>
      </c>
      <c r="D27" s="549">
        <f t="shared" si="3"/>
        <v>193976</v>
      </c>
      <c r="E27" s="549">
        <f t="shared" si="3"/>
        <v>252662.45</v>
      </c>
      <c r="F27" s="549">
        <f t="shared" si="3"/>
        <v>251538</v>
      </c>
      <c r="G27" s="549">
        <f t="shared" si="3"/>
        <v>184019.5</v>
      </c>
      <c r="H27" s="549">
        <f t="shared" si="3"/>
        <v>187752.2</v>
      </c>
      <c r="I27" s="549">
        <f t="shared" si="3"/>
        <v>141930.5</v>
      </c>
      <c r="J27" s="549">
        <f t="shared" si="3"/>
        <v>144885.29999999999</v>
      </c>
      <c r="K27" s="549">
        <f t="shared" si="3"/>
        <v>0</v>
      </c>
      <c r="L27" s="549">
        <f t="shared" si="3"/>
        <v>0</v>
      </c>
      <c r="M27" s="549">
        <f t="shared" si="3"/>
        <v>0</v>
      </c>
      <c r="N27" s="549">
        <f>+N18+N25</f>
        <v>1571815.7</v>
      </c>
    </row>
    <row r="28" spans="1:14" ht="16.2" thickTop="1">
      <c r="A28" s="1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5.6">
      <c r="A29" s="13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15.6">
      <c r="A30" s="13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5.6">
      <c r="A31" s="13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5.6">
      <c r="A32" s="13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5.6">
      <c r="A33" s="13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.6">
      <c r="A34" s="13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.6">
      <c r="A35" s="132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6">
      <c r="A36" s="132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5.6">
      <c r="A37" s="132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.6">
      <c r="A38" s="132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5.6">
      <c r="A39" s="132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5.6">
      <c r="A40" s="132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5.6">
      <c r="A41" s="132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5.6">
      <c r="A42" s="132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5.6">
      <c r="A43" s="132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ht="15.6">
      <c r="A44" s="13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ht="15.6">
      <c r="A45" s="13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9"/>
  <sheetViews>
    <sheetView zoomScale="80" zoomScaleNormal="80" zoomScaleSheetLayoutView="80" workbookViewId="0">
      <pane ySplit="6" topLeftCell="A7" activePane="bottomLeft" state="frozen"/>
      <selection activeCell="G20" sqref="G20"/>
      <selection pane="bottomLeft" activeCell="C13" sqref="C13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1" width="15.5546875" style="11" bestFit="1" customWidth="1"/>
    <col min="12" max="12" width="16.88671875" style="11" bestFit="1" customWidth="1"/>
    <col min="13" max="13" width="17.6640625" style="11" bestFit="1" customWidth="1"/>
    <col min="14" max="14" width="13.6640625" style="11" bestFit="1" customWidth="1"/>
    <col min="15" max="16384" width="11.44140625" style="11"/>
  </cols>
  <sheetData>
    <row r="1" spans="1:14" s="10" customFormat="1" ht="16.2">
      <c r="A1" s="269" t="s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4" s="9" customFormat="1" ht="15.6">
      <c r="A2" s="270" t="s">
        <v>259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4" s="9" customFormat="1" ht="15.6">
      <c r="A3" s="190" t="s">
        <v>423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4" s="9" customFormat="1" ht="15.6">
      <c r="A4" s="19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4" s="8" customFormat="1" ht="15.6">
      <c r="A5" s="271"/>
      <c r="B5" s="271"/>
      <c r="C5" s="271"/>
      <c r="D5" s="271"/>
      <c r="E5" s="271"/>
      <c r="F5" s="272"/>
      <c r="G5" s="272"/>
      <c r="H5" s="272"/>
      <c r="I5" s="271"/>
      <c r="J5" s="271"/>
      <c r="K5" s="271"/>
      <c r="L5" s="271"/>
    </row>
    <row r="6" spans="1:14" s="28" customFormat="1" ht="32.25" customHeight="1">
      <c r="A6" s="273"/>
      <c r="B6" s="273" t="s">
        <v>41</v>
      </c>
      <c r="C6" s="273" t="s">
        <v>31</v>
      </c>
      <c r="D6" s="273" t="s">
        <v>169</v>
      </c>
      <c r="E6" s="273" t="s">
        <v>173</v>
      </c>
      <c r="F6" s="273" t="s">
        <v>251</v>
      </c>
      <c r="G6" s="273" t="s">
        <v>168</v>
      </c>
      <c r="H6" s="273" t="s">
        <v>33</v>
      </c>
      <c r="I6" s="273" t="s">
        <v>49</v>
      </c>
      <c r="J6" s="273" t="s">
        <v>50</v>
      </c>
      <c r="K6" s="273" t="s">
        <v>34</v>
      </c>
      <c r="L6" s="273" t="s">
        <v>35</v>
      </c>
      <c r="M6" s="274"/>
    </row>
    <row r="7" spans="1:14" s="29" customFormat="1" ht="18" customHeight="1">
      <c r="A7" s="583" t="s">
        <v>42</v>
      </c>
      <c r="B7" s="584"/>
      <c r="C7" s="275"/>
      <c r="D7" s="275"/>
      <c r="E7" s="276"/>
      <c r="F7" s="276"/>
      <c r="G7" s="276"/>
      <c r="H7" s="276"/>
      <c r="I7" s="275"/>
      <c r="J7" s="275"/>
      <c r="K7" s="275"/>
      <c r="L7" s="275"/>
      <c r="M7" s="277"/>
    </row>
    <row r="8" spans="1:14" s="29" customFormat="1" ht="18" customHeight="1">
      <c r="A8" s="278" t="s">
        <v>234</v>
      </c>
      <c r="B8" s="279" t="s">
        <v>177</v>
      </c>
      <c r="C8" s="280">
        <v>10594848</v>
      </c>
      <c r="D8" s="280">
        <f>I8-C8</f>
        <v>1947020</v>
      </c>
      <c r="E8" s="280">
        <v>2037153</v>
      </c>
      <c r="F8" s="281" t="s">
        <v>394</v>
      </c>
      <c r="G8" s="280">
        <v>-90133</v>
      </c>
      <c r="H8" s="281" t="s">
        <v>215</v>
      </c>
      <c r="I8" s="280">
        <v>12541868</v>
      </c>
      <c r="J8" s="280">
        <v>5771195.5800000019</v>
      </c>
      <c r="K8" s="280">
        <v>11632406</v>
      </c>
      <c r="L8" s="280">
        <v>909462</v>
      </c>
      <c r="M8" s="282">
        <f>E8+G8-D8</f>
        <v>0</v>
      </c>
      <c r="N8" s="30"/>
    </row>
    <row r="9" spans="1:14" s="29" customFormat="1" ht="18" customHeight="1">
      <c r="A9" s="278" t="s">
        <v>235</v>
      </c>
      <c r="B9" s="279" t="s">
        <v>178</v>
      </c>
      <c r="C9" s="280">
        <f>7793465</f>
        <v>7793465</v>
      </c>
      <c r="D9" s="280">
        <f t="shared" ref="D9:D20" si="0">I9-C9</f>
        <v>24434378</v>
      </c>
      <c r="E9" s="280">
        <v>24978808</v>
      </c>
      <c r="F9" s="281" t="s">
        <v>285</v>
      </c>
      <c r="G9" s="280">
        <v>-544430</v>
      </c>
      <c r="H9" s="281" t="s">
        <v>215</v>
      </c>
      <c r="I9" s="280">
        <v>32227843</v>
      </c>
      <c r="J9" s="280">
        <v>1540366.3399999994</v>
      </c>
      <c r="K9" s="280">
        <v>7101320</v>
      </c>
      <c r="L9" s="280">
        <v>25126523</v>
      </c>
      <c r="M9" s="282">
        <f t="shared" ref="M9:M30" si="1">E9+G9-D9</f>
        <v>0</v>
      </c>
      <c r="N9" s="139"/>
    </row>
    <row r="10" spans="1:14" s="29" customFormat="1" ht="18" customHeight="1">
      <c r="A10" s="278" t="s">
        <v>236</v>
      </c>
      <c r="B10" s="279" t="s">
        <v>179</v>
      </c>
      <c r="C10" s="280">
        <v>2374352</v>
      </c>
      <c r="D10" s="280">
        <f t="shared" si="0"/>
        <v>137239</v>
      </c>
      <c r="E10" s="280">
        <v>154111</v>
      </c>
      <c r="F10" s="281" t="s">
        <v>388</v>
      </c>
      <c r="G10" s="280">
        <v>-16872</v>
      </c>
      <c r="H10" s="281" t="s">
        <v>215</v>
      </c>
      <c r="I10" s="280">
        <v>2511591</v>
      </c>
      <c r="J10" s="280">
        <v>2308579.1899999995</v>
      </c>
      <c r="K10" s="280">
        <v>2341345</v>
      </c>
      <c r="L10" s="280">
        <v>170246</v>
      </c>
      <c r="M10" s="282">
        <f t="shared" si="1"/>
        <v>0</v>
      </c>
    </row>
    <row r="11" spans="1:14" s="29" customFormat="1" ht="18" customHeight="1">
      <c r="A11" s="278" t="s">
        <v>237</v>
      </c>
      <c r="B11" s="279" t="s">
        <v>180</v>
      </c>
      <c r="C11" s="280">
        <v>886093</v>
      </c>
      <c r="D11" s="280">
        <f>I11-C11</f>
        <v>6299179</v>
      </c>
      <c r="E11" s="280">
        <v>6299179</v>
      </c>
      <c r="F11" s="283" t="s">
        <v>286</v>
      </c>
      <c r="G11" s="280">
        <v>0</v>
      </c>
      <c r="H11" s="283"/>
      <c r="I11" s="280">
        <v>7185272</v>
      </c>
      <c r="J11" s="280">
        <v>1012772.8200000001</v>
      </c>
      <c r="K11" s="280">
        <v>3577696</v>
      </c>
      <c r="L11" s="280">
        <v>3607576</v>
      </c>
      <c r="M11" s="282">
        <f>E11+G11-D11</f>
        <v>0</v>
      </c>
    </row>
    <row r="12" spans="1:14" s="29" customFormat="1" ht="18" customHeight="1">
      <c r="A12" s="278" t="s">
        <v>238</v>
      </c>
      <c r="B12" s="279" t="s">
        <v>181</v>
      </c>
      <c r="C12" s="280">
        <v>10549157</v>
      </c>
      <c r="D12" s="280">
        <f t="shared" si="0"/>
        <v>6063089</v>
      </c>
      <c r="E12" s="280">
        <v>6164009</v>
      </c>
      <c r="F12" s="281" t="s">
        <v>285</v>
      </c>
      <c r="G12" s="280">
        <v>-100920</v>
      </c>
      <c r="H12" s="281" t="s">
        <v>215</v>
      </c>
      <c r="I12" s="280">
        <v>16612246</v>
      </c>
      <c r="J12" s="280">
        <v>5858392.9000000078</v>
      </c>
      <c r="K12" s="280">
        <v>16123023</v>
      </c>
      <c r="L12" s="280">
        <v>489223</v>
      </c>
      <c r="M12" s="282">
        <f t="shared" si="1"/>
        <v>0</v>
      </c>
    </row>
    <row r="13" spans="1:14" s="29" customFormat="1" ht="18" customHeight="1">
      <c r="A13" s="278" t="s">
        <v>239</v>
      </c>
      <c r="B13" s="279" t="s">
        <v>220</v>
      </c>
      <c r="C13" s="280">
        <v>504897</v>
      </c>
      <c r="D13" s="280">
        <f t="shared" si="0"/>
        <v>120033</v>
      </c>
      <c r="E13" s="280">
        <v>146306</v>
      </c>
      <c r="F13" s="281" t="s">
        <v>285</v>
      </c>
      <c r="G13" s="280">
        <v>-26273</v>
      </c>
      <c r="H13" s="281" t="s">
        <v>215</v>
      </c>
      <c r="I13" s="280">
        <v>624930</v>
      </c>
      <c r="J13" s="280">
        <v>227935.00000000006</v>
      </c>
      <c r="K13" s="280">
        <v>359840</v>
      </c>
      <c r="L13" s="280">
        <v>265090</v>
      </c>
      <c r="M13" s="282">
        <f t="shared" si="1"/>
        <v>0</v>
      </c>
    </row>
    <row r="14" spans="1:14" s="29" customFormat="1" ht="18" customHeight="1">
      <c r="A14" s="278" t="s">
        <v>240</v>
      </c>
      <c r="B14" s="279" t="s">
        <v>265</v>
      </c>
      <c r="C14" s="280">
        <v>736760</v>
      </c>
      <c r="D14" s="280">
        <f t="shared" si="0"/>
        <v>1964000</v>
      </c>
      <c r="E14" s="280">
        <v>1964000</v>
      </c>
      <c r="F14" s="281" t="s">
        <v>286</v>
      </c>
      <c r="G14" s="280">
        <v>0</v>
      </c>
      <c r="H14" s="281"/>
      <c r="I14" s="280">
        <v>2700760</v>
      </c>
      <c r="J14" s="280">
        <v>0</v>
      </c>
      <c r="K14" s="280">
        <v>2700760</v>
      </c>
      <c r="L14" s="280">
        <v>0</v>
      </c>
      <c r="M14" s="282">
        <f>E14+G14-D14</f>
        <v>0</v>
      </c>
    </row>
    <row r="15" spans="1:14" s="29" customFormat="1" ht="18" customHeight="1">
      <c r="A15" s="278" t="s">
        <v>241</v>
      </c>
      <c r="B15" s="279" t="s">
        <v>222</v>
      </c>
      <c r="C15" s="280">
        <v>354585</v>
      </c>
      <c r="D15" s="280">
        <f t="shared" si="0"/>
        <v>1298876</v>
      </c>
      <c r="E15" s="280">
        <v>1292704</v>
      </c>
      <c r="F15" s="281" t="s">
        <v>285</v>
      </c>
      <c r="G15" s="280">
        <v>6172</v>
      </c>
      <c r="H15" s="281" t="s">
        <v>215</v>
      </c>
      <c r="I15" s="280">
        <v>1653461</v>
      </c>
      <c r="J15" s="280">
        <v>0</v>
      </c>
      <c r="K15" s="280">
        <v>260000</v>
      </c>
      <c r="L15" s="280">
        <v>1393461</v>
      </c>
      <c r="M15" s="282">
        <f>E15+G15-D15</f>
        <v>0</v>
      </c>
    </row>
    <row r="16" spans="1:14" s="29" customFormat="1" ht="18" customHeight="1">
      <c r="A16" s="278" t="s">
        <v>242</v>
      </c>
      <c r="B16" s="279" t="s">
        <v>221</v>
      </c>
      <c r="C16" s="280">
        <v>0</v>
      </c>
      <c r="D16" s="280">
        <f t="shared" si="0"/>
        <v>2738698</v>
      </c>
      <c r="E16" s="280">
        <v>2738698</v>
      </c>
      <c r="F16" s="283" t="s">
        <v>285</v>
      </c>
      <c r="G16" s="280">
        <v>0</v>
      </c>
      <c r="H16" s="283"/>
      <c r="I16" s="280">
        <v>2738698</v>
      </c>
      <c r="J16" s="280">
        <v>1120126.1600000001</v>
      </c>
      <c r="K16" s="280">
        <v>2092858</v>
      </c>
      <c r="L16" s="280">
        <v>645840</v>
      </c>
      <c r="M16" s="282">
        <f t="shared" si="1"/>
        <v>0</v>
      </c>
    </row>
    <row r="17" spans="1:13" s="29" customFormat="1" ht="18" customHeight="1">
      <c r="A17" s="278" t="s">
        <v>243</v>
      </c>
      <c r="B17" s="279" t="s">
        <v>223</v>
      </c>
      <c r="C17" s="280">
        <v>0</v>
      </c>
      <c r="D17" s="280">
        <f t="shared" si="0"/>
        <v>993888</v>
      </c>
      <c r="E17" s="280">
        <v>1092389</v>
      </c>
      <c r="F17" s="283" t="s">
        <v>286</v>
      </c>
      <c r="G17" s="280">
        <v>-98501</v>
      </c>
      <c r="H17" s="283" t="s">
        <v>215</v>
      </c>
      <c r="I17" s="280">
        <v>993888</v>
      </c>
      <c r="J17" s="280">
        <v>0</v>
      </c>
      <c r="K17" s="280">
        <v>0</v>
      </c>
      <c r="L17" s="280">
        <v>993888</v>
      </c>
      <c r="M17" s="282">
        <f t="shared" si="1"/>
        <v>0</v>
      </c>
    </row>
    <row r="18" spans="1:13" s="31" customFormat="1" ht="18" customHeight="1">
      <c r="A18" s="278" t="s">
        <v>244</v>
      </c>
      <c r="B18" s="279" t="s">
        <v>224</v>
      </c>
      <c r="C18" s="280">
        <v>450000</v>
      </c>
      <c r="D18" s="280">
        <f t="shared" si="0"/>
        <v>413007</v>
      </c>
      <c r="E18" s="280">
        <v>413007</v>
      </c>
      <c r="F18" s="283" t="s">
        <v>285</v>
      </c>
      <c r="G18" s="280">
        <v>0</v>
      </c>
      <c r="H18" s="283"/>
      <c r="I18" s="280">
        <v>863007</v>
      </c>
      <c r="J18" s="280">
        <v>138865.99999999994</v>
      </c>
      <c r="K18" s="280">
        <v>863007</v>
      </c>
      <c r="L18" s="280">
        <v>0</v>
      </c>
      <c r="M18" s="282">
        <f t="shared" si="1"/>
        <v>0</v>
      </c>
    </row>
    <row r="19" spans="1:13" s="31" customFormat="1" ht="18" customHeight="1">
      <c r="A19" s="278" t="s">
        <v>245</v>
      </c>
      <c r="B19" s="279" t="s">
        <v>132</v>
      </c>
      <c r="C19" s="280">
        <v>6188796</v>
      </c>
      <c r="D19" s="280">
        <f t="shared" si="0"/>
        <v>1981757</v>
      </c>
      <c r="E19" s="280">
        <v>1981757</v>
      </c>
      <c r="F19" s="283" t="s">
        <v>394</v>
      </c>
      <c r="G19" s="280">
        <v>0</v>
      </c>
      <c r="H19" s="283"/>
      <c r="I19" s="280">
        <v>8170553</v>
      </c>
      <c r="J19" s="280">
        <v>2806943.12</v>
      </c>
      <c r="K19" s="280">
        <v>8170553</v>
      </c>
      <c r="L19" s="280">
        <v>0</v>
      </c>
      <c r="M19" s="282">
        <f t="shared" si="1"/>
        <v>0</v>
      </c>
    </row>
    <row r="20" spans="1:13" s="31" customFormat="1" ht="15.6">
      <c r="A20" s="278" t="s">
        <v>289</v>
      </c>
      <c r="B20" s="279" t="s">
        <v>339</v>
      </c>
      <c r="C20" s="280">
        <v>0</v>
      </c>
      <c r="D20" s="280">
        <f t="shared" si="0"/>
        <v>1410607</v>
      </c>
      <c r="E20" s="280">
        <v>1410607</v>
      </c>
      <c r="F20" s="283" t="s">
        <v>285</v>
      </c>
      <c r="G20" s="280">
        <v>0</v>
      </c>
      <c r="H20" s="283"/>
      <c r="I20" s="280">
        <v>1410607</v>
      </c>
      <c r="J20" s="280">
        <v>0</v>
      </c>
      <c r="K20" s="280">
        <v>400000</v>
      </c>
      <c r="L20" s="280">
        <v>1010607</v>
      </c>
      <c r="M20" s="282">
        <f t="shared" si="1"/>
        <v>0</v>
      </c>
    </row>
    <row r="21" spans="1:13" s="32" customFormat="1" ht="18" customHeight="1">
      <c r="A21" s="284" t="s">
        <v>257</v>
      </c>
      <c r="B21" s="285"/>
      <c r="C21" s="286">
        <f>SUM(C8:C20)</f>
        <v>40432953</v>
      </c>
      <c r="D21" s="286">
        <f>SUM(D8:D20)</f>
        <v>49801771</v>
      </c>
      <c r="E21" s="286">
        <v>50672728</v>
      </c>
      <c r="F21" s="286"/>
      <c r="G21" s="286">
        <f>SUM(G8:G20)</f>
        <v>-870957</v>
      </c>
      <c r="H21" s="286"/>
      <c r="I21" s="286">
        <f>SUM(I8:I20)</f>
        <v>90234724</v>
      </c>
      <c r="J21" s="286">
        <f>SUM(J8:J20)</f>
        <v>20785177.110000011</v>
      </c>
      <c r="K21" s="286">
        <f>SUM(K8:K20)</f>
        <v>55622808</v>
      </c>
      <c r="L21" s="286">
        <f>SUM(L8:L20)</f>
        <v>34611916</v>
      </c>
      <c r="M21" s="282">
        <f t="shared" si="1"/>
        <v>0</v>
      </c>
    </row>
    <row r="22" spans="1:13" s="33" customFormat="1" ht="18" customHeight="1">
      <c r="A22" s="287"/>
      <c r="B22" s="288"/>
      <c r="C22" s="287"/>
      <c r="D22" s="287"/>
      <c r="E22" s="289"/>
      <c r="F22" s="290"/>
      <c r="G22" s="291"/>
      <c r="H22" s="290"/>
      <c r="I22" s="287"/>
      <c r="J22" s="287"/>
      <c r="K22" s="287"/>
      <c r="L22" s="287"/>
      <c r="M22" s="282">
        <f t="shared" si="1"/>
        <v>0</v>
      </c>
    </row>
    <row r="23" spans="1:13" s="31" customFormat="1" ht="18" customHeight="1" thickBot="1">
      <c r="A23" s="292" t="s">
        <v>258</v>
      </c>
      <c r="B23" s="293"/>
      <c r="C23" s="294">
        <f>C21</f>
        <v>40432953</v>
      </c>
      <c r="D23" s="294">
        <f t="shared" ref="D23:L23" si="2">D21</f>
        <v>49801771</v>
      </c>
      <c r="E23" s="294">
        <v>50672728</v>
      </c>
      <c r="F23" s="294"/>
      <c r="G23" s="294">
        <f t="shared" si="2"/>
        <v>-870957</v>
      </c>
      <c r="H23" s="294"/>
      <c r="I23" s="294">
        <f t="shared" si="2"/>
        <v>90234724</v>
      </c>
      <c r="J23" s="294">
        <f t="shared" si="2"/>
        <v>20785177.110000011</v>
      </c>
      <c r="K23" s="294">
        <f t="shared" si="2"/>
        <v>55622808</v>
      </c>
      <c r="L23" s="294">
        <f t="shared" si="2"/>
        <v>34611916</v>
      </c>
      <c r="M23" s="282">
        <f t="shared" si="1"/>
        <v>0</v>
      </c>
    </row>
    <row r="24" spans="1:13" s="31" customFormat="1" ht="18" customHeight="1" thickTop="1">
      <c r="A24" s="287"/>
      <c r="B24" s="288"/>
      <c r="C24" s="287"/>
      <c r="D24" s="287"/>
      <c r="E24" s="289"/>
      <c r="F24" s="290"/>
      <c r="G24" s="291"/>
      <c r="H24" s="290"/>
      <c r="I24" s="287"/>
      <c r="J24" s="287"/>
      <c r="K24" s="287"/>
      <c r="L24" s="287"/>
      <c r="M24" s="282">
        <f t="shared" si="1"/>
        <v>0</v>
      </c>
    </row>
    <row r="25" spans="1:13" s="29" customFormat="1" ht="18" customHeight="1">
      <c r="A25" s="287"/>
      <c r="B25" s="288"/>
      <c r="C25" s="287"/>
      <c r="D25" s="287"/>
      <c r="E25" s="289"/>
      <c r="F25" s="290"/>
      <c r="G25" s="291"/>
      <c r="H25" s="290"/>
      <c r="I25" s="287"/>
      <c r="J25" s="287"/>
      <c r="K25" s="287"/>
      <c r="L25" s="287"/>
      <c r="M25" s="282">
        <f t="shared" si="1"/>
        <v>0</v>
      </c>
    </row>
    <row r="26" spans="1:13" s="34" customFormat="1" ht="18" customHeight="1">
      <c r="A26" s="295" t="s">
        <v>43</v>
      </c>
      <c r="B26" s="296"/>
      <c r="C26" s="297"/>
      <c r="D26" s="297"/>
      <c r="E26" s="297"/>
      <c r="F26" s="298"/>
      <c r="G26" s="299"/>
      <c r="H26" s="298"/>
      <c r="I26" s="297"/>
      <c r="J26" s="297"/>
      <c r="K26" s="297"/>
      <c r="L26" s="297"/>
      <c r="M26" s="282">
        <f t="shared" si="1"/>
        <v>0</v>
      </c>
    </row>
    <row r="27" spans="1:13" s="35" customFormat="1" ht="18" customHeight="1">
      <c r="A27" s="300" t="s">
        <v>4</v>
      </c>
      <c r="B27" s="301"/>
      <c r="C27" s="280">
        <v>24933685</v>
      </c>
      <c r="D27" s="280">
        <f>I27-C27</f>
        <v>42239487</v>
      </c>
      <c r="E27" s="280">
        <v>42239487</v>
      </c>
      <c r="F27" s="281"/>
      <c r="G27" s="280">
        <v>0</v>
      </c>
      <c r="H27" s="281"/>
      <c r="I27" s="280">
        <v>67173172</v>
      </c>
      <c r="J27" s="280">
        <v>15401627.969999993</v>
      </c>
      <c r="K27" s="280">
        <v>36111608</v>
      </c>
      <c r="L27" s="280">
        <v>31061564</v>
      </c>
      <c r="M27" s="282">
        <f>E27+G27-D27</f>
        <v>0</v>
      </c>
    </row>
    <row r="28" spans="1:13" s="29" customFormat="1" ht="18" customHeight="1">
      <c r="A28" s="302"/>
      <c r="B28" s="301" t="s">
        <v>39</v>
      </c>
      <c r="C28" s="303">
        <f>C27</f>
        <v>24933685</v>
      </c>
      <c r="D28" s="303">
        <f>D27</f>
        <v>42239487</v>
      </c>
      <c r="E28" s="303">
        <v>42239487</v>
      </c>
      <c r="F28" s="304"/>
      <c r="G28" s="303">
        <f>G27</f>
        <v>0</v>
      </c>
      <c r="H28" s="304"/>
      <c r="I28" s="303">
        <f>I27</f>
        <v>67173172</v>
      </c>
      <c r="J28" s="303">
        <f>J27</f>
        <v>15401627.969999993</v>
      </c>
      <c r="K28" s="303">
        <f>K27</f>
        <v>36111608</v>
      </c>
      <c r="L28" s="303">
        <f>L27</f>
        <v>31061564</v>
      </c>
      <c r="M28" s="282">
        <f t="shared" si="1"/>
        <v>0</v>
      </c>
    </row>
    <row r="29" spans="1:13" s="29" customFormat="1" ht="18" customHeight="1">
      <c r="A29" s="305" t="s">
        <v>6</v>
      </c>
      <c r="B29" s="301"/>
      <c r="C29" s="280">
        <v>15499268</v>
      </c>
      <c r="D29" s="280">
        <f>I29-C29</f>
        <v>7562284</v>
      </c>
      <c r="E29" s="280">
        <v>8433241</v>
      </c>
      <c r="F29" s="281"/>
      <c r="G29" s="280">
        <v>-870957</v>
      </c>
      <c r="H29" s="281"/>
      <c r="I29" s="280">
        <v>23061552</v>
      </c>
      <c r="J29" s="280">
        <v>5383549.1400000025</v>
      </c>
      <c r="K29" s="280">
        <v>19511200</v>
      </c>
      <c r="L29" s="306">
        <v>3550352</v>
      </c>
      <c r="M29" s="282">
        <f t="shared" si="1"/>
        <v>0</v>
      </c>
    </row>
    <row r="30" spans="1:13" s="29" customFormat="1" ht="18" customHeight="1" thickBot="1">
      <c r="A30" s="292" t="s">
        <v>37</v>
      </c>
      <c r="B30" s="292"/>
      <c r="C30" s="294">
        <f>SUM(C28,C29)</f>
        <v>40432953</v>
      </c>
      <c r="D30" s="294">
        <f t="shared" ref="D30:L30" si="3">SUM(D28,D29)</f>
        <v>49801771</v>
      </c>
      <c r="E30" s="294">
        <v>50672728</v>
      </c>
      <c r="F30" s="294"/>
      <c r="G30" s="294">
        <f t="shared" si="3"/>
        <v>-870957</v>
      </c>
      <c r="H30" s="294"/>
      <c r="I30" s="294">
        <f t="shared" si="3"/>
        <v>90234724</v>
      </c>
      <c r="J30" s="294">
        <f t="shared" si="3"/>
        <v>20785177.109999996</v>
      </c>
      <c r="K30" s="294">
        <f t="shared" si="3"/>
        <v>55622808</v>
      </c>
      <c r="L30" s="294">
        <f t="shared" si="3"/>
        <v>34611916</v>
      </c>
      <c r="M30" s="282">
        <f t="shared" si="1"/>
        <v>0</v>
      </c>
    </row>
    <row r="31" spans="1:13" s="29" customFormat="1" ht="16.5" customHeight="1" thickTop="1">
      <c r="A31" s="296"/>
      <c r="B31" s="301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282"/>
    </row>
    <row r="32" spans="1:13" s="29" customFormat="1" ht="16.5" customHeight="1">
      <c r="A32" s="308" t="s">
        <v>40</v>
      </c>
      <c r="B32" s="301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277"/>
    </row>
    <row r="33" spans="1:13" s="29" customFormat="1" ht="16.5" customHeight="1">
      <c r="A33" s="309"/>
      <c r="B33" s="310"/>
      <c r="C33" s="311"/>
      <c r="D33" s="310"/>
      <c r="E33" s="310"/>
      <c r="F33" s="310"/>
      <c r="G33" s="310"/>
      <c r="H33" s="310"/>
      <c r="I33" s="310"/>
      <c r="J33" s="310"/>
      <c r="K33" s="310"/>
      <c r="L33" s="310"/>
      <c r="M33" s="277"/>
    </row>
    <row r="34" spans="1:13" s="29" customFormat="1" ht="16.5" customHeight="1">
      <c r="A34" s="309" t="s">
        <v>273</v>
      </c>
      <c r="B34" s="312" t="s">
        <v>276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277"/>
    </row>
    <row r="35" spans="1:13" s="29" customFormat="1" ht="16.5" customHeight="1">
      <c r="A35" s="309" t="s">
        <v>215</v>
      </c>
      <c r="B35" s="312" t="s">
        <v>214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277"/>
    </row>
    <row r="36" spans="1:13" s="29" customFormat="1" ht="16.5" customHeight="1">
      <c r="A36" s="309" t="s">
        <v>286</v>
      </c>
      <c r="B36" s="312" t="s">
        <v>288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s="29" customFormat="1" ht="14.4">
      <c r="A37" s="35"/>
      <c r="B37" s="35"/>
      <c r="F37" s="37"/>
      <c r="G37" s="37"/>
      <c r="H37" s="37"/>
    </row>
    <row r="38" spans="1:13" s="29" customFormat="1" ht="14.4">
      <c r="A38" s="35"/>
      <c r="B38" s="35"/>
      <c r="F38" s="37"/>
      <c r="G38" s="37"/>
      <c r="H38" s="37"/>
    </row>
    <row r="39" spans="1:13" s="29" customFormat="1" ht="14.4">
      <c r="A39" s="61"/>
      <c r="B39" s="35"/>
      <c r="F39" s="37"/>
      <c r="G39" s="37"/>
      <c r="H39" s="37"/>
      <c r="I39" s="39"/>
    </row>
    <row r="40" spans="1:13" s="29" customFormat="1" ht="14.4">
      <c r="A40" s="61"/>
      <c r="B40" s="35"/>
      <c r="F40" s="37"/>
      <c r="G40" s="37"/>
      <c r="H40" s="37"/>
      <c r="I40" s="39"/>
    </row>
    <row r="41" spans="1:13" s="29" customFormat="1" ht="14.4">
      <c r="A41" s="61"/>
      <c r="B41" s="35"/>
      <c r="F41" s="37"/>
      <c r="G41" s="37"/>
      <c r="H41" s="37"/>
    </row>
    <row r="42" spans="1:13" s="29" customFormat="1" ht="14.4">
      <c r="A42" s="61"/>
      <c r="B42" s="35"/>
      <c r="F42" s="37"/>
      <c r="G42" s="37"/>
      <c r="H42" s="37"/>
    </row>
    <row r="43" spans="1:13" s="29" customFormat="1" ht="14.4">
      <c r="A43" s="61"/>
      <c r="B43" s="35"/>
      <c r="F43" s="37"/>
      <c r="G43" s="37"/>
      <c r="H43" s="37"/>
    </row>
    <row r="44" spans="1:13" s="29" customFormat="1" ht="14.4">
      <c r="A44" s="61"/>
      <c r="B44" s="35"/>
      <c r="F44" s="37"/>
      <c r="G44" s="37"/>
      <c r="H44" s="37"/>
    </row>
    <row r="45" spans="1:13" s="29" customFormat="1" ht="14.4">
      <c r="A45" s="61"/>
      <c r="B45" s="35"/>
      <c r="F45" s="37"/>
      <c r="G45" s="37"/>
      <c r="H45" s="37"/>
    </row>
    <row r="46" spans="1:13" s="29" customFormat="1" ht="14.4">
      <c r="A46" s="61"/>
      <c r="B46" s="35"/>
      <c r="F46" s="37"/>
      <c r="G46" s="37"/>
      <c r="H46" s="37"/>
    </row>
    <row r="47" spans="1:13" s="29" customFormat="1" ht="14.4">
      <c r="A47" s="61"/>
      <c r="B47" s="35"/>
      <c r="F47" s="37"/>
      <c r="G47" s="37"/>
      <c r="H47" s="37"/>
    </row>
    <row r="48" spans="1:13" s="29" customFormat="1" ht="14.4">
      <c r="A48" s="61"/>
      <c r="B48" s="35"/>
      <c r="F48" s="37"/>
      <c r="G48" s="37"/>
      <c r="H48" s="37"/>
    </row>
    <row r="49" spans="1:8" s="29" customFormat="1" ht="14.4">
      <c r="A49" s="61"/>
      <c r="B49" s="35"/>
      <c r="F49" s="37"/>
      <c r="G49" s="37"/>
      <c r="H49" s="37"/>
    </row>
    <row r="50" spans="1:8" s="29" customFormat="1" ht="14.4">
      <c r="A50" s="61"/>
      <c r="B50" s="35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A56" s="38"/>
      <c r="F56" s="37"/>
      <c r="G56" s="37"/>
      <c r="H56" s="37"/>
    </row>
    <row r="57" spans="1:8" s="29" customFormat="1" ht="13.8">
      <c r="A57" s="38"/>
      <c r="F57" s="37"/>
      <c r="G57" s="37"/>
      <c r="H57" s="37"/>
    </row>
    <row r="58" spans="1:8" s="29" customFormat="1" ht="13.8">
      <c r="A58" s="38"/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  <row r="87" spans="6:8" s="29" customFormat="1" ht="13.8">
      <c r="F87" s="37"/>
      <c r="G87" s="37"/>
      <c r="H87" s="37"/>
    </row>
    <row r="88" spans="6:8" s="29" customFormat="1" ht="13.8">
      <c r="F88" s="37"/>
      <c r="G88" s="37"/>
      <c r="H88" s="37"/>
    </row>
    <row r="89" spans="6:8" s="29" customFormat="1" ht="13.8">
      <c r="F89" s="37"/>
      <c r="G89" s="37"/>
      <c r="H89" s="37"/>
    </row>
  </sheetData>
  <mergeCells count="1">
    <mergeCell ref="A7:B7"/>
  </mergeCells>
  <phoneticPr fontId="22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586" t="s">
        <v>3</v>
      </c>
      <c r="B1" s="586"/>
      <c r="C1" s="586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587" t="s">
        <v>232</v>
      </c>
      <c r="B2" s="587"/>
      <c r="C2" s="587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585" t="s">
        <v>231</v>
      </c>
      <c r="B3" s="585"/>
      <c r="C3" s="585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188</v>
      </c>
      <c r="B5" s="21" t="s">
        <v>174</v>
      </c>
      <c r="C5" s="22" t="s">
        <v>175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176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182</v>
      </c>
      <c r="B11" s="58" t="s">
        <v>174</v>
      </c>
      <c r="C11" s="26" t="s">
        <v>175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176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E42"/>
  <sheetViews>
    <sheetView zoomScale="80" zoomScaleNormal="80" workbookViewId="0">
      <selection activeCell="F12" sqref="F12"/>
    </sheetView>
  </sheetViews>
  <sheetFormatPr defaultRowHeight="15.6"/>
  <cols>
    <col min="1" max="1" width="7.109375" customWidth="1"/>
    <col min="2" max="2" width="77.88671875" customWidth="1"/>
    <col min="3" max="3" width="16.6640625" customWidth="1"/>
    <col min="4" max="4" width="4.109375" style="360" customWidth="1"/>
    <col min="5" max="7" width="16.6640625" customWidth="1"/>
    <col min="8" max="9" width="12.33203125" customWidth="1"/>
    <col min="10" max="10" width="8.6640625" bestFit="1" customWidth="1"/>
  </cols>
  <sheetData>
    <row r="1" spans="1:57" s="312" customFormat="1" ht="16.5" customHeight="1">
      <c r="A1" s="588" t="s">
        <v>3</v>
      </c>
      <c r="B1" s="588"/>
      <c r="C1" s="588"/>
      <c r="D1" s="588"/>
      <c r="E1" s="588"/>
      <c r="F1" s="588"/>
      <c r="G1" s="588"/>
      <c r="H1" s="428"/>
      <c r="I1" s="428"/>
      <c r="J1" s="428"/>
    </row>
    <row r="2" spans="1:57" s="312" customFormat="1" ht="16.5" customHeight="1">
      <c r="A2" s="588" t="s">
        <v>262</v>
      </c>
      <c r="B2" s="588"/>
      <c r="C2" s="588"/>
      <c r="D2" s="588"/>
      <c r="E2" s="588"/>
      <c r="F2" s="588"/>
      <c r="G2" s="588"/>
      <c r="H2" s="428"/>
      <c r="I2" s="428"/>
      <c r="J2" s="428"/>
    </row>
    <row r="3" spans="1:57" s="312" customFormat="1" ht="16.5" customHeight="1">
      <c r="A3" s="589" t="s">
        <v>423</v>
      </c>
      <c r="B3" s="589"/>
      <c r="C3" s="589"/>
      <c r="D3" s="589"/>
      <c r="E3" s="589"/>
      <c r="F3" s="589"/>
      <c r="G3" s="589"/>
      <c r="H3" s="428"/>
      <c r="I3" s="428"/>
      <c r="J3" s="428"/>
    </row>
    <row r="4" spans="1:57" s="312" customFormat="1">
      <c r="A4" s="590" t="s">
        <v>167</v>
      </c>
      <c r="B4" s="590"/>
      <c r="C4" s="590"/>
      <c r="D4" s="590"/>
      <c r="E4" s="590"/>
      <c r="F4" s="590"/>
      <c r="G4" s="590"/>
    </row>
    <row r="5" spans="1:57" s="429" customFormat="1">
      <c r="D5" s="509"/>
      <c r="F5" s="430" t="s">
        <v>167</v>
      </c>
    </row>
    <row r="6" spans="1:57" s="433" customFormat="1" ht="33.450000000000003" customHeight="1">
      <c r="A6" s="431"/>
      <c r="B6" s="432" t="s">
        <v>44</v>
      </c>
      <c r="C6" s="431" t="s">
        <v>263</v>
      </c>
      <c r="D6" s="510"/>
      <c r="E6" s="431" t="s">
        <v>264</v>
      </c>
      <c r="F6" s="431" t="s">
        <v>396</v>
      </c>
      <c r="G6" s="431" t="s">
        <v>206</v>
      </c>
    </row>
    <row r="7" spans="1:57" s="312" customFormat="1" ht="9" customHeight="1">
      <c r="A7" s="434"/>
      <c r="B7" s="435"/>
      <c r="C7" s="434"/>
      <c r="D7" s="511"/>
      <c r="E7" s="434"/>
      <c r="F7" s="434"/>
      <c r="G7" s="434"/>
    </row>
    <row r="8" spans="1:57" s="312" customFormat="1" ht="18.899999999999999" customHeight="1">
      <c r="A8" s="436">
        <v>1</v>
      </c>
      <c r="B8" s="437" t="s">
        <v>45</v>
      </c>
      <c r="C8" s="362">
        <v>814292</v>
      </c>
      <c r="D8" s="512" t="s">
        <v>408</v>
      </c>
      <c r="E8" s="362">
        <v>622089</v>
      </c>
      <c r="F8" s="362">
        <v>831640.07957717718</v>
      </c>
      <c r="G8" s="438">
        <f>+F8-C8</f>
        <v>17348.079577177181</v>
      </c>
      <c r="H8" s="439"/>
      <c r="I8" s="440"/>
      <c r="J8" s="440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</row>
    <row r="9" spans="1:57" s="312" customFormat="1" ht="18.899999999999999" customHeight="1">
      <c r="A9" s="436">
        <f t="shared" ref="A9:A22" si="0">A8+1</f>
        <v>2</v>
      </c>
      <c r="B9" s="437" t="s">
        <v>46</v>
      </c>
      <c r="C9" s="362">
        <v>287177</v>
      </c>
      <c r="D9" s="362"/>
      <c r="E9" s="362">
        <v>231834</v>
      </c>
      <c r="F9" s="362">
        <v>298065.64925466175</v>
      </c>
      <c r="G9" s="438">
        <f t="shared" ref="G9:G22" si="1">+F9-C9</f>
        <v>10888.649254661752</v>
      </c>
      <c r="H9" s="439"/>
      <c r="I9" s="440"/>
      <c r="J9" s="440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</row>
    <row r="10" spans="1:57" s="312" customFormat="1" ht="18.899999999999999" customHeight="1">
      <c r="A10" s="436">
        <f t="shared" si="0"/>
        <v>3</v>
      </c>
      <c r="B10" s="437" t="s">
        <v>207</v>
      </c>
      <c r="C10" s="362">
        <v>113690</v>
      </c>
      <c r="D10" s="512" t="s">
        <v>408</v>
      </c>
      <c r="E10" s="362">
        <v>81790</v>
      </c>
      <c r="F10" s="362">
        <v>113048.79851792532</v>
      </c>
      <c r="G10" s="438">
        <f t="shared" si="1"/>
        <v>-641.20148207468446</v>
      </c>
      <c r="H10" s="439"/>
      <c r="I10" s="440"/>
      <c r="J10" s="440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</row>
    <row r="11" spans="1:57" s="312" customFormat="1" ht="18.899999999999999" customHeight="1">
      <c r="A11" s="436">
        <f t="shared" si="0"/>
        <v>4</v>
      </c>
      <c r="B11" s="437" t="s">
        <v>208</v>
      </c>
      <c r="C11" s="362">
        <v>13294</v>
      </c>
      <c r="D11" s="512" t="s">
        <v>408</v>
      </c>
      <c r="E11" s="362">
        <v>17108</v>
      </c>
      <c r="F11" s="362">
        <v>22479.08336405682</v>
      </c>
      <c r="G11" s="438">
        <f t="shared" si="1"/>
        <v>9185.0833640568198</v>
      </c>
      <c r="H11" s="439"/>
      <c r="I11" s="440"/>
      <c r="J11" s="440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</row>
    <row r="12" spans="1:57" s="443" customFormat="1" ht="18.899999999999999" customHeight="1">
      <c r="A12" s="436">
        <f t="shared" si="0"/>
        <v>5</v>
      </c>
      <c r="B12" s="437" t="s">
        <v>47</v>
      </c>
      <c r="C12" s="362">
        <v>186756</v>
      </c>
      <c r="D12" s="362"/>
      <c r="E12" s="362">
        <v>134066</v>
      </c>
      <c r="F12" s="362">
        <v>174588.93778248836</v>
      </c>
      <c r="G12" s="438">
        <f t="shared" si="1"/>
        <v>-12167.062217511644</v>
      </c>
      <c r="H12" s="441"/>
      <c r="I12" s="442"/>
      <c r="J12" s="442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</row>
    <row r="13" spans="1:57" s="312" customFormat="1" ht="18.899999999999999" customHeight="1">
      <c r="A13" s="436">
        <f t="shared" si="0"/>
        <v>6</v>
      </c>
      <c r="B13" s="437" t="s">
        <v>209</v>
      </c>
      <c r="C13" s="362">
        <v>88293</v>
      </c>
      <c r="D13" s="362"/>
      <c r="E13" s="362">
        <v>62601</v>
      </c>
      <c r="F13" s="362">
        <v>87263.876344500837</v>
      </c>
      <c r="G13" s="438">
        <f t="shared" si="1"/>
        <v>-1029.1236554991629</v>
      </c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</row>
    <row r="14" spans="1:57" s="312" customFormat="1" ht="18.899999999999999" customHeight="1">
      <c r="A14" s="436">
        <f t="shared" si="0"/>
        <v>7</v>
      </c>
      <c r="B14" s="437" t="s">
        <v>210</v>
      </c>
      <c r="C14" s="362">
        <v>14306</v>
      </c>
      <c r="D14" s="362"/>
      <c r="E14" s="362">
        <v>9293</v>
      </c>
      <c r="F14" s="362">
        <v>12418.836913338315</v>
      </c>
      <c r="G14" s="438">
        <f t="shared" si="1"/>
        <v>-1887.1630866616852</v>
      </c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</row>
    <row r="15" spans="1:57" s="443" customFormat="1" ht="18.899999999999999" customHeight="1">
      <c r="A15" s="436">
        <f t="shared" si="0"/>
        <v>8</v>
      </c>
      <c r="B15" s="437" t="s">
        <v>48</v>
      </c>
      <c r="C15" s="363">
        <v>16.29</v>
      </c>
      <c r="D15" s="363"/>
      <c r="E15" s="364">
        <v>15.661737206705151</v>
      </c>
      <c r="F15" s="365">
        <v>16.074713865993342</v>
      </c>
      <c r="G15" s="438">
        <f t="shared" si="1"/>
        <v>-0.21528613400665719</v>
      </c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</row>
    <row r="16" spans="1:57" s="312" customFormat="1" ht="18.899999999999999" customHeight="1">
      <c r="A16" s="436">
        <f t="shared" si="0"/>
        <v>9</v>
      </c>
      <c r="B16" s="437" t="s">
        <v>211</v>
      </c>
      <c r="C16" s="364">
        <v>31.5</v>
      </c>
      <c r="D16" s="364"/>
      <c r="E16" s="364">
        <v>33.345501789400693</v>
      </c>
      <c r="F16" s="365">
        <v>34.165664092642828</v>
      </c>
      <c r="G16" s="438">
        <f t="shared" si="1"/>
        <v>2.6656640926428281</v>
      </c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</row>
    <row r="17" spans="1:57" s="312" customFormat="1" ht="18.899999999999999" customHeight="1">
      <c r="A17" s="436">
        <f t="shared" si="0"/>
        <v>10</v>
      </c>
      <c r="B17" s="437" t="s">
        <v>377</v>
      </c>
      <c r="C17" s="362">
        <v>31260</v>
      </c>
      <c r="D17" s="512" t="s">
        <v>408</v>
      </c>
      <c r="E17" s="362">
        <v>30712.444444444445</v>
      </c>
      <c r="F17" s="366">
        <v>30860.711483333333</v>
      </c>
      <c r="G17" s="438">
        <f t="shared" si="1"/>
        <v>-399.28851666666742</v>
      </c>
      <c r="H17" s="439" t="s">
        <v>167</v>
      </c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</row>
    <row r="18" spans="1:57" s="312" customFormat="1" ht="18.899999999999999" customHeight="1">
      <c r="A18" s="436">
        <f t="shared" si="0"/>
        <v>11</v>
      </c>
      <c r="B18" s="437" t="s">
        <v>186</v>
      </c>
      <c r="C18" s="362">
        <v>16275</v>
      </c>
      <c r="D18" s="516" t="s">
        <v>187</v>
      </c>
      <c r="E18" s="367">
        <v>16014.439049062357</v>
      </c>
      <c r="F18" s="362">
        <v>16056.233895854195</v>
      </c>
      <c r="G18" s="438">
        <f t="shared" si="1"/>
        <v>-218.766104145805</v>
      </c>
      <c r="H18" s="439" t="s">
        <v>167</v>
      </c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</row>
    <row r="19" spans="1:57" s="443" customFormat="1" ht="18.899999999999999" customHeight="1">
      <c r="A19" s="436">
        <f t="shared" si="0"/>
        <v>12</v>
      </c>
      <c r="B19" s="361" t="s">
        <v>397</v>
      </c>
      <c r="C19" s="362">
        <v>48668</v>
      </c>
      <c r="D19" s="516" t="s">
        <v>187</v>
      </c>
      <c r="E19" s="367">
        <v>48344.707039795059</v>
      </c>
      <c r="F19" s="362">
        <v>48581.880159637461</v>
      </c>
      <c r="G19" s="438">
        <f t="shared" si="1"/>
        <v>-86.119840362538525</v>
      </c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</row>
    <row r="20" spans="1:57" s="443" customFormat="1" ht="18.899999999999999" customHeight="1">
      <c r="A20" s="436">
        <f t="shared" si="0"/>
        <v>13</v>
      </c>
      <c r="B20" s="437" t="s">
        <v>398</v>
      </c>
      <c r="C20" s="362">
        <v>5697</v>
      </c>
      <c r="D20" s="516" t="s">
        <v>187</v>
      </c>
      <c r="E20" s="367">
        <v>6634.6474656298315</v>
      </c>
      <c r="F20" s="362">
        <v>6315.3653024454097</v>
      </c>
      <c r="G20" s="438">
        <f t="shared" si="1"/>
        <v>618.36530244540972</v>
      </c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</row>
    <row r="21" spans="1:57" s="443" customFormat="1" ht="18.899999999999999" customHeight="1">
      <c r="A21" s="436">
        <f t="shared" si="0"/>
        <v>14</v>
      </c>
      <c r="B21" s="437" t="s">
        <v>399</v>
      </c>
      <c r="C21" s="362">
        <v>10872</v>
      </c>
      <c r="D21" s="516" t="s">
        <v>187</v>
      </c>
      <c r="E21" s="367">
        <v>5927.6340067032525</v>
      </c>
      <c r="F21" s="362">
        <v>5511.1838177175823</v>
      </c>
      <c r="G21" s="438">
        <f t="shared" si="1"/>
        <v>-5360.8161822824177</v>
      </c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</row>
    <row r="22" spans="1:57" s="443" customFormat="1" ht="18.899999999999999" customHeight="1">
      <c r="A22" s="517">
        <f t="shared" si="0"/>
        <v>15</v>
      </c>
      <c r="B22" s="518" t="s">
        <v>212</v>
      </c>
      <c r="C22" s="508">
        <v>42299</v>
      </c>
      <c r="D22" s="508"/>
      <c r="E22" s="508">
        <v>30569</v>
      </c>
      <c r="F22" s="508">
        <v>40001.578999999998</v>
      </c>
      <c r="G22" s="519">
        <f t="shared" si="1"/>
        <v>-2297.4210000000021</v>
      </c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</row>
    <row r="23" spans="1:57" s="443" customFormat="1">
      <c r="A23" s="421"/>
      <c r="B23" s="421"/>
      <c r="C23" s="368"/>
      <c r="D23" s="368"/>
      <c r="E23" s="444"/>
      <c r="F23" s="444"/>
      <c r="G23" s="444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</row>
    <row r="24" spans="1:57" s="515" customFormat="1">
      <c r="A24" s="513" t="s">
        <v>187</v>
      </c>
      <c r="B24" s="514" t="s">
        <v>409</v>
      </c>
      <c r="C24" s="368"/>
      <c r="D24" s="368"/>
      <c r="E24" s="368"/>
      <c r="F24" s="368"/>
      <c r="G24" s="368"/>
    </row>
    <row r="25" spans="1:57" s="515" customFormat="1">
      <c r="A25" s="513" t="s">
        <v>213</v>
      </c>
      <c r="B25" s="514" t="s">
        <v>217</v>
      </c>
      <c r="C25" s="368"/>
      <c r="D25" s="368"/>
      <c r="E25" s="368"/>
      <c r="F25" s="368"/>
      <c r="G25" s="368"/>
    </row>
    <row r="26" spans="1:57" s="360" customFormat="1">
      <c r="A26" s="513" t="s">
        <v>408</v>
      </c>
      <c r="B26" s="514" t="s">
        <v>410</v>
      </c>
    </row>
    <row r="27" spans="1:57">
      <c r="A27" s="513"/>
      <c r="B27" s="514"/>
    </row>
    <row r="36" spans="5:5">
      <c r="E36" s="445"/>
    </row>
    <row r="37" spans="5:5">
      <c r="E37" s="445"/>
    </row>
    <row r="38" spans="5:5">
      <c r="E38" s="445"/>
    </row>
    <row r="39" spans="5:5">
      <c r="E39" s="445"/>
    </row>
    <row r="40" spans="5:5">
      <c r="E40" s="445"/>
    </row>
    <row r="41" spans="5:5">
      <c r="E41" s="445"/>
    </row>
    <row r="42" spans="5:5">
      <c r="E42" s="445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zoomScale="70" zoomScaleNormal="70" workbookViewId="0">
      <pane xSplit="2" topLeftCell="C1" activePane="topRight" state="frozen"/>
      <selection activeCell="G20" sqref="G20"/>
      <selection pane="topRight" activeCell="C20" sqref="C20"/>
    </sheetView>
  </sheetViews>
  <sheetFormatPr defaultColWidth="9.109375" defaultRowHeight="15.6"/>
  <cols>
    <col min="1" max="1" width="14.88671875" style="357" customWidth="1"/>
    <col min="2" max="2" width="62.5546875" style="132" customWidth="1"/>
    <col min="3" max="3" width="16.44140625" style="132" bestFit="1" customWidth="1"/>
    <col min="4" max="31" width="19.44140625" style="132" customWidth="1"/>
    <col min="32" max="32" width="12.44140625" style="132" bestFit="1" customWidth="1"/>
    <col min="33" max="33" width="13.6640625" style="132" bestFit="1" customWidth="1"/>
    <col min="34" max="34" width="16.109375" style="132" bestFit="1" customWidth="1"/>
    <col min="35" max="35" width="18.109375" style="132" customWidth="1"/>
    <col min="36" max="36" width="27.5546875" style="132" customWidth="1"/>
    <col min="37" max="37" width="24.5546875" style="132" bestFit="1" customWidth="1"/>
    <col min="38" max="38" width="18.5546875" style="132" bestFit="1" customWidth="1"/>
    <col min="39" max="41" width="18.44140625" style="132" customWidth="1"/>
    <col min="42" max="42" width="14.33203125" style="132" customWidth="1"/>
    <col min="43" max="43" width="20.44140625" style="132" customWidth="1"/>
    <col min="44" max="44" width="18.5546875" style="132" bestFit="1" customWidth="1"/>
    <col min="45" max="45" width="20.44140625" style="132" bestFit="1" customWidth="1"/>
    <col min="46" max="46" width="18" style="132" bestFit="1" customWidth="1"/>
    <col min="47" max="47" width="10.88671875" style="132" hidden="1" customWidth="1"/>
    <col min="48" max="48" width="14.44140625" style="132" bestFit="1" customWidth="1"/>
    <col min="49" max="49" width="11.5546875" style="132" bestFit="1" customWidth="1"/>
    <col min="50" max="16384" width="9.109375" style="132"/>
  </cols>
  <sheetData>
    <row r="1" spans="1:48">
      <c r="A1" s="315" t="s">
        <v>279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</row>
    <row r="2" spans="1:48">
      <c r="A2" s="315" t="s">
        <v>280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</row>
    <row r="3" spans="1:48" ht="16.2" thickBot="1">
      <c r="A3" s="317" t="s">
        <v>423</v>
      </c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</row>
    <row r="4" spans="1:48">
      <c r="A4" s="554" t="s">
        <v>1</v>
      </c>
      <c r="B4" s="555"/>
      <c r="C4" s="320" t="s">
        <v>24</v>
      </c>
      <c r="D4" s="321" t="s">
        <v>25</v>
      </c>
      <c r="E4" s="321" t="s">
        <v>26</v>
      </c>
      <c r="F4" s="321" t="s">
        <v>27</v>
      </c>
      <c r="G4" s="321" t="s">
        <v>28</v>
      </c>
      <c r="H4" s="321" t="s">
        <v>29</v>
      </c>
      <c r="I4" s="321" t="s">
        <v>114</v>
      </c>
      <c r="J4" s="321" t="s">
        <v>115</v>
      </c>
      <c r="K4" s="321" t="s">
        <v>116</v>
      </c>
      <c r="L4" s="321" t="s">
        <v>117</v>
      </c>
      <c r="M4" s="321" t="s">
        <v>118</v>
      </c>
      <c r="N4" s="321" t="s">
        <v>119</v>
      </c>
      <c r="O4" s="321" t="s">
        <v>120</v>
      </c>
      <c r="P4" s="321" t="s">
        <v>30</v>
      </c>
      <c r="Q4" s="321" t="s">
        <v>121</v>
      </c>
      <c r="R4" s="321" t="s">
        <v>122</v>
      </c>
      <c r="S4" s="321" t="s">
        <v>104</v>
      </c>
      <c r="T4" s="321" t="s">
        <v>105</v>
      </c>
      <c r="U4" s="321" t="s">
        <v>123</v>
      </c>
      <c r="V4" s="322" t="s">
        <v>106</v>
      </c>
      <c r="W4" s="322" t="s">
        <v>107</v>
      </c>
      <c r="X4" s="322" t="s">
        <v>108</v>
      </c>
      <c r="Y4" s="322" t="s">
        <v>109</v>
      </c>
      <c r="Z4" s="322" t="s">
        <v>110</v>
      </c>
      <c r="AA4" s="322" t="s">
        <v>111</v>
      </c>
      <c r="AB4" s="322" t="s">
        <v>112</v>
      </c>
      <c r="AC4" s="322" t="s">
        <v>113</v>
      </c>
      <c r="AD4" s="321" t="s">
        <v>199</v>
      </c>
      <c r="AE4" s="323" t="s">
        <v>175</v>
      </c>
    </row>
    <row r="5" spans="1:48" ht="63" thickBot="1">
      <c r="A5" s="556" t="s">
        <v>0</v>
      </c>
      <c r="B5" s="557"/>
      <c r="C5" s="324" t="s">
        <v>7</v>
      </c>
      <c r="D5" s="325" t="s">
        <v>8</v>
      </c>
      <c r="E5" s="325" t="s">
        <v>9</v>
      </c>
      <c r="F5" s="326" t="s">
        <v>189</v>
      </c>
      <c r="G5" s="326" t="s">
        <v>190</v>
      </c>
      <c r="H5" s="326" t="s">
        <v>191</v>
      </c>
      <c r="I5" s="326" t="s">
        <v>11</v>
      </c>
      <c r="J5" s="326" t="s">
        <v>192</v>
      </c>
      <c r="K5" s="326" t="s">
        <v>193</v>
      </c>
      <c r="L5" s="326" t="s">
        <v>194</v>
      </c>
      <c r="M5" s="326" t="s">
        <v>195</v>
      </c>
      <c r="N5" s="326" t="s">
        <v>196</v>
      </c>
      <c r="O5" s="326" t="s">
        <v>281</v>
      </c>
      <c r="P5" s="326" t="s">
        <v>14</v>
      </c>
      <c r="Q5" s="326" t="s">
        <v>15</v>
      </c>
      <c r="R5" s="326" t="s">
        <v>16</v>
      </c>
      <c r="S5" s="326" t="s">
        <v>17</v>
      </c>
      <c r="T5" s="326" t="s">
        <v>158</v>
      </c>
      <c r="U5" s="326" t="s">
        <v>159</v>
      </c>
      <c r="V5" s="327" t="s">
        <v>197</v>
      </c>
      <c r="W5" s="327" t="s">
        <v>124</v>
      </c>
      <c r="X5" s="327" t="s">
        <v>198</v>
      </c>
      <c r="Y5" s="327" t="s">
        <v>19</v>
      </c>
      <c r="Z5" s="327" t="s">
        <v>20</v>
      </c>
      <c r="AA5" s="327" t="s">
        <v>21</v>
      </c>
      <c r="AB5" s="327" t="s">
        <v>22</v>
      </c>
      <c r="AC5" s="327" t="s">
        <v>23</v>
      </c>
      <c r="AD5" s="326" t="s">
        <v>125</v>
      </c>
      <c r="AE5" s="328"/>
    </row>
    <row r="6" spans="1:48" ht="16.2" thickBot="1">
      <c r="A6" s="329"/>
      <c r="B6" s="330" t="s">
        <v>340</v>
      </c>
      <c r="C6" s="331">
        <v>21297356</v>
      </c>
      <c r="D6" s="331">
        <v>548765797</v>
      </c>
      <c r="E6" s="332">
        <v>48154810</v>
      </c>
      <c r="F6" s="333">
        <v>54852504</v>
      </c>
      <c r="G6" s="331">
        <v>10065312</v>
      </c>
      <c r="H6" s="331">
        <v>3488221</v>
      </c>
      <c r="I6" s="331">
        <v>9743396</v>
      </c>
      <c r="J6" s="331">
        <v>8616280</v>
      </c>
      <c r="K6" s="331">
        <v>46082699</v>
      </c>
      <c r="L6" s="331">
        <v>421563615</v>
      </c>
      <c r="M6" s="331">
        <v>269243512</v>
      </c>
      <c r="N6" s="331">
        <v>12371835</v>
      </c>
      <c r="O6" s="331">
        <v>0</v>
      </c>
      <c r="P6" s="331">
        <v>21001890</v>
      </c>
      <c r="Q6" s="331">
        <v>8422558</v>
      </c>
      <c r="R6" s="331">
        <v>2610245</v>
      </c>
      <c r="S6" s="331">
        <v>3155510</v>
      </c>
      <c r="T6" s="331">
        <v>26075221</v>
      </c>
      <c r="U6" s="331">
        <v>1887363</v>
      </c>
      <c r="V6" s="334">
        <v>57609430</v>
      </c>
      <c r="W6" s="334">
        <v>6238964</v>
      </c>
      <c r="X6" s="334">
        <v>9399818</v>
      </c>
      <c r="Y6" s="334">
        <v>45143834</v>
      </c>
      <c r="Z6" s="334">
        <v>18516156</v>
      </c>
      <c r="AA6" s="334">
        <v>12464149</v>
      </c>
      <c r="AB6" s="334">
        <v>992155</v>
      </c>
      <c r="AC6" s="334">
        <v>35071483</v>
      </c>
      <c r="AD6" s="331">
        <v>37715330</v>
      </c>
      <c r="AE6" s="332">
        <f>SUM(C6:AD6)</f>
        <v>1740549443</v>
      </c>
    </row>
    <row r="7" spans="1:48" ht="31.2">
      <c r="A7" s="501" t="s">
        <v>216</v>
      </c>
      <c r="B7" s="502" t="s">
        <v>341</v>
      </c>
      <c r="C7" s="335">
        <v>0</v>
      </c>
      <c r="D7" s="335">
        <v>3578307</v>
      </c>
      <c r="E7" s="335">
        <v>872850</v>
      </c>
      <c r="F7" s="335"/>
      <c r="G7" s="335"/>
      <c r="H7" s="335"/>
      <c r="I7" s="335">
        <v>624265</v>
      </c>
      <c r="J7" s="335">
        <v>346315</v>
      </c>
      <c r="K7" s="335">
        <v>-4131478</v>
      </c>
      <c r="L7" s="335">
        <v>0</v>
      </c>
      <c r="M7" s="335">
        <v>0</v>
      </c>
      <c r="N7" s="335">
        <v>0</v>
      </c>
      <c r="O7" s="335">
        <v>0</v>
      </c>
      <c r="P7" s="335">
        <v>0</v>
      </c>
      <c r="Q7" s="335">
        <v>0</v>
      </c>
      <c r="R7" s="335">
        <v>0</v>
      </c>
      <c r="S7" s="335">
        <v>1088701</v>
      </c>
      <c r="T7" s="335"/>
      <c r="U7" s="335"/>
      <c r="V7" s="335">
        <v>0</v>
      </c>
      <c r="W7" s="335">
        <v>0</v>
      </c>
      <c r="X7" s="335">
        <v>0</v>
      </c>
      <c r="Y7" s="335">
        <v>0</v>
      </c>
      <c r="Z7" s="335">
        <v>0</v>
      </c>
      <c r="AA7" s="335">
        <v>0</v>
      </c>
      <c r="AB7" s="335">
        <v>1</v>
      </c>
      <c r="AC7" s="335">
        <v>2</v>
      </c>
      <c r="AD7" s="335">
        <v>0</v>
      </c>
      <c r="AE7" s="336">
        <f>SUM(C7:AD7)</f>
        <v>2378963</v>
      </c>
    </row>
    <row r="8" spans="1:48" ht="31.2">
      <c r="A8" s="337" t="s">
        <v>273</v>
      </c>
      <c r="B8" s="338" t="s">
        <v>342</v>
      </c>
      <c r="C8" s="335">
        <v>0</v>
      </c>
      <c r="D8" s="335">
        <v>23453959</v>
      </c>
      <c r="E8" s="335">
        <v>1230158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  <c r="N8" s="335">
        <v>0</v>
      </c>
      <c r="O8" s="335">
        <v>0</v>
      </c>
      <c r="P8" s="335">
        <v>0</v>
      </c>
      <c r="Q8" s="335">
        <v>0</v>
      </c>
      <c r="R8" s="335">
        <v>0</v>
      </c>
      <c r="S8" s="335">
        <v>0</v>
      </c>
      <c r="T8" s="335">
        <v>34416127</v>
      </c>
      <c r="U8" s="335">
        <v>0</v>
      </c>
      <c r="V8" s="335">
        <v>138854</v>
      </c>
      <c r="W8" s="335">
        <v>6703</v>
      </c>
      <c r="X8" s="335">
        <v>0</v>
      </c>
      <c r="Y8" s="335">
        <v>0</v>
      </c>
      <c r="Z8" s="335">
        <v>376259</v>
      </c>
      <c r="AA8" s="335">
        <v>33546</v>
      </c>
      <c r="AB8" s="335">
        <v>0</v>
      </c>
      <c r="AC8" s="335">
        <v>3067626</v>
      </c>
      <c r="AD8" s="335">
        <v>940108</v>
      </c>
      <c r="AE8" s="336">
        <f t="shared" ref="AE8:AE22" si="0">SUM(C8:AD8)</f>
        <v>63663340</v>
      </c>
    </row>
    <row r="9" spans="1:48" ht="31.2">
      <c r="A9" s="337" t="s">
        <v>269</v>
      </c>
      <c r="B9" s="338" t="s">
        <v>343</v>
      </c>
      <c r="C9" s="335">
        <v>438886</v>
      </c>
      <c r="D9" s="335">
        <v>8866523</v>
      </c>
      <c r="E9" s="335">
        <v>601305</v>
      </c>
      <c r="F9" s="335">
        <v>0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35">
        <v>0</v>
      </c>
      <c r="N9" s="335">
        <v>0</v>
      </c>
      <c r="O9" s="335">
        <v>0</v>
      </c>
      <c r="P9" s="335">
        <v>0</v>
      </c>
      <c r="Q9" s="335">
        <v>0</v>
      </c>
      <c r="R9" s="335">
        <v>0</v>
      </c>
      <c r="S9" s="335">
        <v>2563</v>
      </c>
      <c r="T9" s="335">
        <v>0</v>
      </c>
      <c r="U9" s="335">
        <v>49681</v>
      </c>
      <c r="V9" s="335">
        <v>1006754</v>
      </c>
      <c r="W9" s="335">
        <v>87613</v>
      </c>
      <c r="X9" s="335">
        <v>0</v>
      </c>
      <c r="Y9" s="335">
        <v>688257</v>
      </c>
      <c r="Z9" s="335">
        <v>321203</v>
      </c>
      <c r="AA9" s="335">
        <v>116220</v>
      </c>
      <c r="AB9" s="335">
        <v>4609</v>
      </c>
      <c r="AC9" s="335">
        <v>238958</v>
      </c>
      <c r="AD9" s="335">
        <v>0</v>
      </c>
      <c r="AE9" s="336">
        <f t="shared" si="0"/>
        <v>12422572</v>
      </c>
    </row>
    <row r="10" spans="1:48" ht="31.2">
      <c r="A10" s="337" t="s">
        <v>215</v>
      </c>
      <c r="B10" s="339" t="s">
        <v>344</v>
      </c>
      <c r="C10" s="340">
        <v>3323</v>
      </c>
      <c r="D10" s="340">
        <v>13858859</v>
      </c>
      <c r="E10" s="340">
        <v>-223583</v>
      </c>
      <c r="F10" s="340">
        <v>112120</v>
      </c>
      <c r="G10" s="340"/>
      <c r="H10" s="340"/>
      <c r="I10" s="340"/>
      <c r="J10" s="340"/>
      <c r="K10" s="340"/>
      <c r="L10" s="340">
        <v>-13194872</v>
      </c>
      <c r="M10" s="340">
        <v>-2082893</v>
      </c>
      <c r="N10" s="340">
        <v>0</v>
      </c>
      <c r="O10" s="340">
        <v>0</v>
      </c>
      <c r="P10" s="340">
        <v>0</v>
      </c>
      <c r="Q10" s="340">
        <v>0</v>
      </c>
      <c r="R10" s="340">
        <v>0</v>
      </c>
      <c r="S10" s="340">
        <v>0</v>
      </c>
      <c r="T10" s="340">
        <v>-337</v>
      </c>
      <c r="U10" s="340">
        <v>0</v>
      </c>
      <c r="V10" s="340">
        <v>15423</v>
      </c>
      <c r="W10" s="340">
        <v>-20664</v>
      </c>
      <c r="X10" s="340">
        <v>0</v>
      </c>
      <c r="Y10" s="340">
        <v>-39174</v>
      </c>
      <c r="Z10" s="340">
        <v>74351</v>
      </c>
      <c r="AA10" s="340">
        <v>-138037</v>
      </c>
      <c r="AB10" s="340">
        <v>-46742</v>
      </c>
      <c r="AC10" s="340">
        <v>-396638</v>
      </c>
      <c r="AD10" s="340">
        <v>250674</v>
      </c>
      <c r="AE10" s="503">
        <f t="shared" si="0"/>
        <v>-1828190</v>
      </c>
      <c r="AH10" s="101"/>
    </row>
    <row r="11" spans="1:48" ht="31.2">
      <c r="A11" s="337" t="s">
        <v>271</v>
      </c>
      <c r="B11" s="338" t="s">
        <v>345</v>
      </c>
      <c r="C11" s="341">
        <v>0</v>
      </c>
      <c r="D11" s="341">
        <v>0</v>
      </c>
      <c r="E11" s="341">
        <v>-1442297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  <c r="O11" s="341">
        <v>0</v>
      </c>
      <c r="P11" s="341">
        <v>0</v>
      </c>
      <c r="Q11" s="341">
        <v>0</v>
      </c>
      <c r="R11" s="341">
        <v>0</v>
      </c>
      <c r="S11" s="341">
        <v>0</v>
      </c>
      <c r="T11" s="341">
        <v>0</v>
      </c>
      <c r="U11" s="341">
        <v>0</v>
      </c>
      <c r="V11" s="341">
        <v>0</v>
      </c>
      <c r="W11" s="341">
        <v>0</v>
      </c>
      <c r="X11" s="341">
        <v>0</v>
      </c>
      <c r="Y11" s="341">
        <v>-37897</v>
      </c>
      <c r="Z11" s="341">
        <v>0</v>
      </c>
      <c r="AA11" s="341">
        <v>-176221</v>
      </c>
      <c r="AB11" s="341">
        <v>0</v>
      </c>
      <c r="AC11" s="341">
        <v>500000</v>
      </c>
      <c r="AD11" s="341">
        <v>0</v>
      </c>
      <c r="AE11" s="504">
        <f t="shared" si="0"/>
        <v>-1156415</v>
      </c>
    </row>
    <row r="12" spans="1:48" ht="31.2">
      <c r="A12" s="342" t="s">
        <v>185</v>
      </c>
      <c r="B12" s="338" t="s">
        <v>346</v>
      </c>
      <c r="C12" s="341">
        <v>37246</v>
      </c>
      <c r="D12" s="341">
        <v>745711</v>
      </c>
      <c r="E12" s="341">
        <v>90077</v>
      </c>
      <c r="F12" s="341">
        <v>0</v>
      </c>
      <c r="G12" s="341">
        <v>0</v>
      </c>
      <c r="H12" s="341">
        <v>0</v>
      </c>
      <c r="I12" s="341">
        <v>0</v>
      </c>
      <c r="J12" s="341">
        <v>-47866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1">
        <v>0</v>
      </c>
      <c r="S12" s="341">
        <v>165</v>
      </c>
      <c r="T12" s="341">
        <v>-5215044</v>
      </c>
      <c r="U12" s="341">
        <v>5218393</v>
      </c>
      <c r="V12" s="341">
        <v>131461</v>
      </c>
      <c r="W12" s="341">
        <v>-43998</v>
      </c>
      <c r="X12" s="341">
        <v>0</v>
      </c>
      <c r="Y12" s="341">
        <v>1567539</v>
      </c>
      <c r="Z12" s="341">
        <v>359253</v>
      </c>
      <c r="AA12" s="341">
        <v>-1506141</v>
      </c>
      <c r="AB12" s="341">
        <v>-222073</v>
      </c>
      <c r="AC12" s="341">
        <v>-1114723</v>
      </c>
      <c r="AD12" s="341">
        <v>0</v>
      </c>
      <c r="AE12" s="341">
        <f t="shared" si="0"/>
        <v>0</v>
      </c>
    </row>
    <row r="13" spans="1:48" ht="31.2">
      <c r="A13" s="337" t="s">
        <v>274</v>
      </c>
      <c r="B13" s="338" t="s">
        <v>275</v>
      </c>
      <c r="C13" s="341">
        <v>0</v>
      </c>
      <c r="D13" s="341">
        <v>0</v>
      </c>
      <c r="E13" s="341">
        <v>0</v>
      </c>
      <c r="F13" s="341">
        <v>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41">
        <v>-9559738</v>
      </c>
      <c r="M13" s="341">
        <v>-684839</v>
      </c>
      <c r="N13" s="341">
        <v>0</v>
      </c>
      <c r="O13" s="341">
        <v>0</v>
      </c>
      <c r="P13" s="341">
        <v>0</v>
      </c>
      <c r="Q13" s="341">
        <v>0</v>
      </c>
      <c r="R13" s="341">
        <v>0</v>
      </c>
      <c r="S13" s="341">
        <v>0</v>
      </c>
      <c r="T13" s="341">
        <v>0</v>
      </c>
      <c r="U13" s="341">
        <v>0</v>
      </c>
      <c r="V13" s="341">
        <v>0</v>
      </c>
      <c r="W13" s="341">
        <v>0</v>
      </c>
      <c r="X13" s="341">
        <v>0</v>
      </c>
      <c r="Y13" s="341">
        <v>0</v>
      </c>
      <c r="Z13" s="341">
        <v>0</v>
      </c>
      <c r="AA13" s="341">
        <v>0</v>
      </c>
      <c r="AB13" s="341">
        <v>0</v>
      </c>
      <c r="AC13" s="341">
        <v>0</v>
      </c>
      <c r="AD13" s="341">
        <v>0</v>
      </c>
      <c r="AE13" s="336">
        <f t="shared" si="0"/>
        <v>-10244577</v>
      </c>
    </row>
    <row r="14" spans="1:48" ht="31.2">
      <c r="A14" s="337" t="s">
        <v>381</v>
      </c>
      <c r="B14" s="343" t="s">
        <v>382</v>
      </c>
      <c r="C14" s="340">
        <v>0</v>
      </c>
      <c r="D14" s="340">
        <v>51450261</v>
      </c>
      <c r="E14" s="340">
        <v>0</v>
      </c>
      <c r="F14" s="340">
        <v>0</v>
      </c>
      <c r="G14" s="340">
        <v>0</v>
      </c>
      <c r="H14" s="340">
        <v>0</v>
      </c>
      <c r="I14" s="340">
        <v>0</v>
      </c>
      <c r="J14" s="340">
        <v>0</v>
      </c>
      <c r="K14" s="340">
        <v>0</v>
      </c>
      <c r="L14" s="340">
        <v>12200000</v>
      </c>
      <c r="M14" s="340">
        <v>0</v>
      </c>
      <c r="N14" s="340">
        <v>0</v>
      </c>
      <c r="O14" s="340">
        <v>0</v>
      </c>
      <c r="P14" s="340">
        <v>0</v>
      </c>
      <c r="Q14" s="340">
        <v>0</v>
      </c>
      <c r="R14" s="340">
        <v>0</v>
      </c>
      <c r="S14" s="340">
        <v>0</v>
      </c>
      <c r="T14" s="340">
        <v>0</v>
      </c>
      <c r="U14" s="340">
        <v>0</v>
      </c>
      <c r="V14" s="340">
        <v>0</v>
      </c>
      <c r="W14" s="340">
        <v>0</v>
      </c>
      <c r="X14" s="340">
        <v>0</v>
      </c>
      <c r="Y14" s="340">
        <v>0</v>
      </c>
      <c r="Z14" s="340">
        <v>0</v>
      </c>
      <c r="AA14" s="340">
        <v>0</v>
      </c>
      <c r="AB14" s="340">
        <v>0</v>
      </c>
      <c r="AC14" s="340">
        <v>0</v>
      </c>
      <c r="AD14" s="340">
        <v>0</v>
      </c>
      <c r="AE14" s="336">
        <f t="shared" si="0"/>
        <v>63650261</v>
      </c>
    </row>
    <row r="15" spans="1:48" ht="31.2">
      <c r="A15" s="337" t="s">
        <v>286</v>
      </c>
      <c r="B15" s="343" t="s">
        <v>288</v>
      </c>
      <c r="C15" s="344">
        <v>0</v>
      </c>
      <c r="D15" s="528">
        <v>8337312</v>
      </c>
      <c r="E15" s="344">
        <v>0</v>
      </c>
      <c r="F15" s="344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4">
        <v>0</v>
      </c>
      <c r="M15" s="344">
        <v>0</v>
      </c>
      <c r="N15" s="344">
        <v>0</v>
      </c>
      <c r="O15" s="344">
        <v>0</v>
      </c>
      <c r="P15" s="344">
        <v>0</v>
      </c>
      <c r="Q15" s="344">
        <v>0</v>
      </c>
      <c r="R15" s="344">
        <v>0</v>
      </c>
      <c r="S15" s="344">
        <v>0</v>
      </c>
      <c r="T15" s="344">
        <v>0</v>
      </c>
      <c r="U15" s="344">
        <v>0</v>
      </c>
      <c r="V15" s="344">
        <v>0</v>
      </c>
      <c r="W15" s="344">
        <v>0</v>
      </c>
      <c r="X15" s="344">
        <v>0</v>
      </c>
      <c r="Y15" s="344">
        <v>0</v>
      </c>
      <c r="Z15" s="344">
        <v>0</v>
      </c>
      <c r="AA15" s="344">
        <v>0</v>
      </c>
      <c r="AB15" s="344">
        <v>0</v>
      </c>
      <c r="AC15" s="344">
        <v>0</v>
      </c>
      <c r="AD15" s="344">
        <v>42806526</v>
      </c>
      <c r="AE15" s="336">
        <f t="shared" si="0"/>
        <v>51143838</v>
      </c>
    </row>
    <row r="16" spans="1:48">
      <c r="A16" s="337" t="s">
        <v>277</v>
      </c>
      <c r="B16" s="343" t="s">
        <v>347</v>
      </c>
      <c r="C16" s="344">
        <v>0</v>
      </c>
      <c r="D16" s="344">
        <v>0</v>
      </c>
      <c r="E16" s="344">
        <v>0</v>
      </c>
      <c r="F16" s="344">
        <v>0</v>
      </c>
      <c r="G16" s="344">
        <v>0</v>
      </c>
      <c r="H16" s="344">
        <v>0</v>
      </c>
      <c r="I16" s="344">
        <v>0</v>
      </c>
      <c r="J16" s="344">
        <v>0</v>
      </c>
      <c r="K16" s="344">
        <v>0</v>
      </c>
      <c r="L16" s="344">
        <v>0</v>
      </c>
      <c r="M16" s="344">
        <v>0</v>
      </c>
      <c r="N16" s="344">
        <v>0</v>
      </c>
      <c r="O16" s="344">
        <v>0</v>
      </c>
      <c r="P16" s="344">
        <v>0</v>
      </c>
      <c r="Q16" s="344">
        <v>0</v>
      </c>
      <c r="R16" s="344">
        <v>0</v>
      </c>
      <c r="S16" s="344">
        <v>0</v>
      </c>
      <c r="T16" s="344">
        <v>2409036</v>
      </c>
      <c r="U16" s="344">
        <v>0</v>
      </c>
      <c r="V16" s="344">
        <v>0</v>
      </c>
      <c r="W16" s="344">
        <v>0</v>
      </c>
      <c r="X16" s="344">
        <v>0</v>
      </c>
      <c r="Y16" s="344">
        <v>0</v>
      </c>
      <c r="Z16" s="344">
        <v>0</v>
      </c>
      <c r="AA16" s="344">
        <v>0</v>
      </c>
      <c r="AB16" s="344">
        <v>0</v>
      </c>
      <c r="AC16" s="344">
        <v>0</v>
      </c>
      <c r="AD16" s="344">
        <v>0</v>
      </c>
      <c r="AE16" s="336">
        <f t="shared" si="0"/>
        <v>2409036</v>
      </c>
    </row>
    <row r="17" spans="1:35">
      <c r="A17" s="345" t="s">
        <v>348</v>
      </c>
      <c r="B17" s="338" t="s">
        <v>349</v>
      </c>
      <c r="C17" s="344">
        <v>0</v>
      </c>
      <c r="D17" s="344">
        <v>0</v>
      </c>
      <c r="E17" s="344">
        <v>0</v>
      </c>
      <c r="F17" s="344">
        <v>0</v>
      </c>
      <c r="G17" s="344">
        <v>0</v>
      </c>
      <c r="H17" s="344">
        <v>0</v>
      </c>
      <c r="I17" s="344">
        <v>0</v>
      </c>
      <c r="J17" s="344">
        <v>0</v>
      </c>
      <c r="K17" s="344">
        <v>0</v>
      </c>
      <c r="L17" s="344">
        <v>0</v>
      </c>
      <c r="M17" s="344">
        <v>0</v>
      </c>
      <c r="N17" s="344">
        <v>0</v>
      </c>
      <c r="O17" s="344">
        <v>0</v>
      </c>
      <c r="P17" s="344">
        <v>0</v>
      </c>
      <c r="Q17" s="344">
        <v>0</v>
      </c>
      <c r="R17" s="344">
        <v>0</v>
      </c>
      <c r="S17" s="344">
        <v>0</v>
      </c>
      <c r="T17" s="344">
        <v>0</v>
      </c>
      <c r="U17" s="344">
        <v>0</v>
      </c>
      <c r="V17" s="344">
        <v>0</v>
      </c>
      <c r="W17" s="344">
        <v>0</v>
      </c>
      <c r="X17" s="344">
        <v>0</v>
      </c>
      <c r="Y17" s="344">
        <v>0</v>
      </c>
      <c r="Z17" s="344">
        <v>0</v>
      </c>
      <c r="AA17" s="344">
        <v>0</v>
      </c>
      <c r="AB17" s="344">
        <v>0</v>
      </c>
      <c r="AC17" s="344">
        <v>2708652</v>
      </c>
      <c r="AD17" s="344">
        <v>0</v>
      </c>
      <c r="AE17" s="336">
        <f t="shared" si="0"/>
        <v>2708652</v>
      </c>
    </row>
    <row r="18" spans="1:35" ht="16.2" thickBot="1">
      <c r="A18" s="345" t="s">
        <v>378</v>
      </c>
      <c r="B18" s="391" t="s">
        <v>379</v>
      </c>
      <c r="C18" s="392">
        <v>0</v>
      </c>
      <c r="D18" s="415">
        <v>21000000</v>
      </c>
      <c r="E18" s="415">
        <v>0</v>
      </c>
      <c r="F18" s="415">
        <v>0</v>
      </c>
      <c r="G18" s="415">
        <v>0</v>
      </c>
      <c r="H18" s="415">
        <v>0</v>
      </c>
      <c r="I18" s="415">
        <v>0</v>
      </c>
      <c r="J18" s="415">
        <v>0</v>
      </c>
      <c r="K18" s="415">
        <v>0</v>
      </c>
      <c r="L18" s="415">
        <v>-21000000</v>
      </c>
      <c r="M18" s="392">
        <v>0</v>
      </c>
      <c r="N18" s="392">
        <v>0</v>
      </c>
      <c r="O18" s="392">
        <v>0</v>
      </c>
      <c r="P18" s="392">
        <v>0</v>
      </c>
      <c r="Q18" s="392">
        <v>0</v>
      </c>
      <c r="R18" s="392">
        <v>0</v>
      </c>
      <c r="S18" s="392">
        <v>0</v>
      </c>
      <c r="T18" s="392">
        <v>0</v>
      </c>
      <c r="U18" s="392">
        <v>0</v>
      </c>
      <c r="V18" s="392">
        <v>0</v>
      </c>
      <c r="W18" s="392">
        <v>0</v>
      </c>
      <c r="X18" s="392">
        <v>0</v>
      </c>
      <c r="Y18" s="392">
        <v>0</v>
      </c>
      <c r="Z18" s="392">
        <v>0</v>
      </c>
      <c r="AA18" s="392">
        <v>0</v>
      </c>
      <c r="AB18" s="392">
        <v>0</v>
      </c>
      <c r="AC18" s="392">
        <v>0</v>
      </c>
      <c r="AD18" s="392">
        <v>0</v>
      </c>
      <c r="AE18" s="505">
        <f t="shared" si="0"/>
        <v>0</v>
      </c>
    </row>
    <row r="19" spans="1:35" ht="16.2" thickBot="1">
      <c r="A19" s="346"/>
      <c r="B19" s="347" t="s">
        <v>169</v>
      </c>
      <c r="C19" s="348">
        <f>SUM(C7:C18)</f>
        <v>479455</v>
      </c>
      <c r="D19" s="348">
        <f t="shared" ref="D19:AC19" si="1">SUM(D7:D18)</f>
        <v>131290932</v>
      </c>
      <c r="E19" s="348">
        <f>SUM(E7:E18)</f>
        <v>1128510</v>
      </c>
      <c r="F19" s="348">
        <f t="shared" si="1"/>
        <v>112120</v>
      </c>
      <c r="G19" s="348">
        <f t="shared" si="1"/>
        <v>0</v>
      </c>
      <c r="H19" s="348">
        <f t="shared" si="1"/>
        <v>0</v>
      </c>
      <c r="I19" s="348">
        <f t="shared" si="1"/>
        <v>624265</v>
      </c>
      <c r="J19" s="348">
        <f t="shared" si="1"/>
        <v>298449</v>
      </c>
      <c r="K19" s="348">
        <f t="shared" si="1"/>
        <v>-4131478</v>
      </c>
      <c r="L19" s="348">
        <f t="shared" si="1"/>
        <v>-31554610</v>
      </c>
      <c r="M19" s="348">
        <f t="shared" si="1"/>
        <v>-2767732</v>
      </c>
      <c r="N19" s="348">
        <f t="shared" si="1"/>
        <v>0</v>
      </c>
      <c r="O19" s="348">
        <f t="shared" si="1"/>
        <v>0</v>
      </c>
      <c r="P19" s="348">
        <f t="shared" si="1"/>
        <v>0</v>
      </c>
      <c r="Q19" s="348">
        <f t="shared" si="1"/>
        <v>0</v>
      </c>
      <c r="R19" s="348">
        <f t="shared" si="1"/>
        <v>0</v>
      </c>
      <c r="S19" s="348">
        <f t="shared" si="1"/>
        <v>1091429</v>
      </c>
      <c r="T19" s="348">
        <f t="shared" si="1"/>
        <v>31609782</v>
      </c>
      <c r="U19" s="348">
        <f t="shared" si="1"/>
        <v>5268074</v>
      </c>
      <c r="V19" s="348">
        <f t="shared" si="1"/>
        <v>1292492</v>
      </c>
      <c r="W19" s="348">
        <f t="shared" si="1"/>
        <v>29654</v>
      </c>
      <c r="X19" s="348">
        <f t="shared" si="1"/>
        <v>0</v>
      </c>
      <c r="Y19" s="348">
        <f t="shared" si="1"/>
        <v>2178725</v>
      </c>
      <c r="Z19" s="348">
        <f t="shared" si="1"/>
        <v>1131066</v>
      </c>
      <c r="AA19" s="348">
        <f t="shared" si="1"/>
        <v>-1670633</v>
      </c>
      <c r="AB19" s="348">
        <f t="shared" si="1"/>
        <v>-264205</v>
      </c>
      <c r="AC19" s="348">
        <f t="shared" si="1"/>
        <v>5003877</v>
      </c>
      <c r="AD19" s="348">
        <f>SUM(AD7:AD18)</f>
        <v>43997308</v>
      </c>
      <c r="AE19" s="506">
        <f>SUM(C19:AD19)</f>
        <v>185147480</v>
      </c>
      <c r="AF19" s="416"/>
      <c r="AH19" s="101"/>
    </row>
    <row r="20" spans="1:35" ht="16.2">
      <c r="A20" s="349"/>
      <c r="B20" s="350" t="s">
        <v>4</v>
      </c>
      <c r="C20" s="351">
        <v>471937</v>
      </c>
      <c r="D20" s="351">
        <v>58094751</v>
      </c>
      <c r="E20" s="351">
        <v>1848235</v>
      </c>
      <c r="F20" s="351">
        <v>0</v>
      </c>
      <c r="G20" s="351">
        <v>0</v>
      </c>
      <c r="H20" s="351">
        <v>0</v>
      </c>
      <c r="I20" s="351">
        <v>0</v>
      </c>
      <c r="J20" s="351">
        <v>-47866</v>
      </c>
      <c r="K20" s="351">
        <v>0</v>
      </c>
      <c r="L20" s="351">
        <v>-30559738</v>
      </c>
      <c r="M20" s="351">
        <v>-684839</v>
      </c>
      <c r="N20" s="351">
        <v>0</v>
      </c>
      <c r="O20" s="351">
        <v>0</v>
      </c>
      <c r="P20" s="351">
        <v>0</v>
      </c>
      <c r="Q20" s="351">
        <v>0</v>
      </c>
      <c r="R20" s="351">
        <v>0</v>
      </c>
      <c r="S20" s="351">
        <v>2728</v>
      </c>
      <c r="T20" s="351">
        <v>9087102</v>
      </c>
      <c r="U20" s="351">
        <v>3134652</v>
      </c>
      <c r="V20" s="351">
        <v>1182379</v>
      </c>
      <c r="W20" s="351">
        <v>52812</v>
      </c>
      <c r="X20" s="351">
        <v>0</v>
      </c>
      <c r="Y20" s="351">
        <v>2220178</v>
      </c>
      <c r="Z20" s="351">
        <v>995359</v>
      </c>
      <c r="AA20" s="351">
        <v>-1368117</v>
      </c>
      <c r="AB20" s="351">
        <v>-197379</v>
      </c>
      <c r="AC20" s="351">
        <v>4734683</v>
      </c>
      <c r="AD20" s="351">
        <v>37237853</v>
      </c>
      <c r="AE20" s="352">
        <f t="shared" si="0"/>
        <v>86204730</v>
      </c>
      <c r="AH20" s="101"/>
    </row>
    <row r="21" spans="1:35" ht="16.2">
      <c r="A21" s="349"/>
      <c r="B21" s="353" t="s">
        <v>282</v>
      </c>
      <c r="C21" s="354">
        <v>7518</v>
      </c>
      <c r="D21" s="354">
        <v>73196181</v>
      </c>
      <c r="E21" s="354">
        <v>722572</v>
      </c>
      <c r="F21" s="354">
        <v>112120</v>
      </c>
      <c r="G21" s="354">
        <v>0</v>
      </c>
      <c r="H21" s="354">
        <v>0</v>
      </c>
      <c r="I21" s="354">
        <v>624265</v>
      </c>
      <c r="J21" s="354">
        <v>346315</v>
      </c>
      <c r="K21" s="354">
        <v>-4131478</v>
      </c>
      <c r="L21" s="354">
        <v>-994872</v>
      </c>
      <c r="M21" s="354">
        <v>-2082893</v>
      </c>
      <c r="N21" s="354">
        <v>0</v>
      </c>
      <c r="O21" s="354">
        <v>0</v>
      </c>
      <c r="P21" s="354">
        <v>0</v>
      </c>
      <c r="Q21" s="354">
        <v>0</v>
      </c>
      <c r="R21" s="354">
        <v>0</v>
      </c>
      <c r="S21" s="354">
        <v>1088701</v>
      </c>
      <c r="T21" s="354">
        <v>22522680</v>
      </c>
      <c r="U21" s="354">
        <v>2133422</v>
      </c>
      <c r="V21" s="354">
        <v>110113</v>
      </c>
      <c r="W21" s="354">
        <v>-23158</v>
      </c>
      <c r="X21" s="354">
        <v>0</v>
      </c>
      <c r="Y21" s="354">
        <v>891</v>
      </c>
      <c r="Z21" s="354">
        <v>135707</v>
      </c>
      <c r="AA21" s="354">
        <v>-130742</v>
      </c>
      <c r="AB21" s="354">
        <v>-66826</v>
      </c>
      <c r="AC21" s="354">
        <v>-230806</v>
      </c>
      <c r="AD21" s="354">
        <v>6759455</v>
      </c>
      <c r="AE21" s="355">
        <f t="shared" si="0"/>
        <v>100099165</v>
      </c>
      <c r="AH21" s="101"/>
    </row>
    <row r="22" spans="1:35" ht="16.8" thickBot="1">
      <c r="A22" s="349"/>
      <c r="B22" s="353" t="s">
        <v>36</v>
      </c>
      <c r="C22" s="354">
        <v>0</v>
      </c>
      <c r="D22" s="354">
        <v>0</v>
      </c>
      <c r="E22" s="354">
        <v>-1442297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0</v>
      </c>
      <c r="U22" s="354">
        <v>0</v>
      </c>
      <c r="V22" s="354">
        <v>0</v>
      </c>
      <c r="W22" s="354">
        <v>0</v>
      </c>
      <c r="X22" s="354">
        <v>0</v>
      </c>
      <c r="Y22" s="354">
        <v>-42344</v>
      </c>
      <c r="Z22" s="354">
        <v>0</v>
      </c>
      <c r="AA22" s="354">
        <v>-171774</v>
      </c>
      <c r="AB22" s="354">
        <v>0</v>
      </c>
      <c r="AC22" s="354">
        <v>500000</v>
      </c>
      <c r="AD22" s="354">
        <v>0</v>
      </c>
      <c r="AE22" s="355">
        <f t="shared" si="0"/>
        <v>-1156415</v>
      </c>
      <c r="AH22" s="101"/>
    </row>
    <row r="23" spans="1:35" ht="16.2" thickBot="1">
      <c r="A23" s="356"/>
      <c r="B23" s="347" t="s">
        <v>350</v>
      </c>
      <c r="C23" s="414">
        <f>C19+C6</f>
        <v>21776811</v>
      </c>
      <c r="D23" s="414">
        <f t="shared" ref="D23:AD23" si="2">D19+D6</f>
        <v>680056729</v>
      </c>
      <c r="E23" s="414">
        <f t="shared" si="2"/>
        <v>49283320</v>
      </c>
      <c r="F23" s="414">
        <f t="shared" si="2"/>
        <v>54964624</v>
      </c>
      <c r="G23" s="414">
        <f t="shared" si="2"/>
        <v>10065312</v>
      </c>
      <c r="H23" s="414">
        <f t="shared" si="2"/>
        <v>3488221</v>
      </c>
      <c r="I23" s="414">
        <f t="shared" si="2"/>
        <v>10367661</v>
      </c>
      <c r="J23" s="414">
        <f t="shared" si="2"/>
        <v>8914729</v>
      </c>
      <c r="K23" s="414">
        <f t="shared" si="2"/>
        <v>41951221</v>
      </c>
      <c r="L23" s="414">
        <f>L19+L6</f>
        <v>390009005</v>
      </c>
      <c r="M23" s="414">
        <f t="shared" si="2"/>
        <v>266475780</v>
      </c>
      <c r="N23" s="414">
        <f t="shared" si="2"/>
        <v>12371835</v>
      </c>
      <c r="O23" s="414">
        <f t="shared" si="2"/>
        <v>0</v>
      </c>
      <c r="P23" s="414">
        <f t="shared" si="2"/>
        <v>21001890</v>
      </c>
      <c r="Q23" s="414">
        <f t="shared" si="2"/>
        <v>8422558</v>
      </c>
      <c r="R23" s="414">
        <f t="shared" si="2"/>
        <v>2610245</v>
      </c>
      <c r="S23" s="414">
        <f t="shared" si="2"/>
        <v>4246939</v>
      </c>
      <c r="T23" s="414">
        <f t="shared" si="2"/>
        <v>57685003</v>
      </c>
      <c r="U23" s="414">
        <f t="shared" si="2"/>
        <v>7155437</v>
      </c>
      <c r="V23" s="414">
        <f t="shared" si="2"/>
        <v>58901922</v>
      </c>
      <c r="W23" s="414">
        <f t="shared" si="2"/>
        <v>6268618</v>
      </c>
      <c r="X23" s="414">
        <f t="shared" si="2"/>
        <v>9399818</v>
      </c>
      <c r="Y23" s="414">
        <f t="shared" si="2"/>
        <v>47322559</v>
      </c>
      <c r="Z23" s="414">
        <f t="shared" si="2"/>
        <v>19647222</v>
      </c>
      <c r="AA23" s="414">
        <f t="shared" si="2"/>
        <v>10793516</v>
      </c>
      <c r="AB23" s="414">
        <f t="shared" si="2"/>
        <v>727950</v>
      </c>
      <c r="AC23" s="414">
        <f t="shared" si="2"/>
        <v>40075360</v>
      </c>
      <c r="AD23" s="414">
        <f t="shared" si="2"/>
        <v>81712638</v>
      </c>
      <c r="AE23" s="507">
        <f>AE19+AE6</f>
        <v>1925696923</v>
      </c>
      <c r="AF23" s="416"/>
      <c r="AH23" s="101"/>
    </row>
    <row r="24" spans="1:35" s="536" customFormat="1">
      <c r="A24" s="18"/>
      <c r="B24" s="1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535"/>
      <c r="AH24" s="535"/>
      <c r="AI24" s="535"/>
    </row>
    <row r="25" spans="1:35">
      <c r="A25" s="132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35">
      <c r="A26" s="132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</row>
    <row r="27" spans="1:35">
      <c r="A27" s="132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5">
      <c r="A28" s="132"/>
    </row>
    <row r="29" spans="1:35">
      <c r="A29" s="132"/>
    </row>
    <row r="30" spans="1:35">
      <c r="A30" s="132"/>
    </row>
    <row r="31" spans="1:35">
      <c r="A31" s="132"/>
    </row>
    <row r="32" spans="1:35">
      <c r="A32" s="132"/>
    </row>
    <row r="33" spans="1:31">
      <c r="A33" s="132"/>
    </row>
    <row r="34" spans="1:31">
      <c r="A34" s="132"/>
    </row>
    <row r="35" spans="1:31">
      <c r="A35" s="132"/>
    </row>
    <row r="36" spans="1:31">
      <c r="A36" s="132"/>
    </row>
    <row r="37" spans="1:31">
      <c r="A37" s="132"/>
    </row>
    <row r="38" spans="1:31" s="128" customFormat="1">
      <c r="A38" s="357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28" customFormat="1">
      <c r="A39" s="357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358" customFormat="1">
      <c r="A40" s="357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358" customFormat="1">
      <c r="A41" s="357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s="358" customFormat="1">
      <c r="A42" s="357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1:31" s="314" customFormat="1">
      <c r="A43" s="357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65" spans="32:32">
      <c r="AF65" s="359"/>
    </row>
    <row r="66" spans="32:32">
      <c r="AF66" s="359"/>
    </row>
    <row r="67" spans="32:32">
      <c r="AF67" s="359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8"/>
  <sheetViews>
    <sheetView zoomScale="80" zoomScaleNormal="80" workbookViewId="0">
      <pane ySplit="5" topLeftCell="A6" activePane="bottomLeft" state="frozen"/>
      <selection activeCell="G20" sqref="G20"/>
      <selection pane="bottomLeft" activeCell="G10" sqref="G10"/>
    </sheetView>
  </sheetViews>
  <sheetFormatPr defaultColWidth="9.109375" defaultRowHeight="15.6"/>
  <cols>
    <col min="1" max="1" width="10" style="96" customWidth="1"/>
    <col min="2" max="2" width="49.109375" style="96" customWidth="1"/>
    <col min="3" max="7" width="15.6640625" style="97" customWidth="1"/>
    <col min="8" max="8" width="16" style="96" customWidth="1"/>
    <col min="9" max="9" width="9.109375" style="96"/>
    <col min="10" max="10" width="10.33203125" style="96" customWidth="1"/>
    <col min="11" max="11" width="12" style="96" customWidth="1"/>
    <col min="12" max="12" width="9.5546875" style="96" bestFit="1" customWidth="1"/>
    <col min="13" max="16384" width="9.109375" style="96"/>
  </cols>
  <sheetData>
    <row r="1" spans="1:13">
      <c r="A1" s="558" t="s">
        <v>3</v>
      </c>
      <c r="B1" s="558"/>
      <c r="C1" s="558"/>
      <c r="D1" s="558"/>
      <c r="E1" s="558"/>
      <c r="F1" s="558"/>
      <c r="G1" s="558"/>
      <c r="H1" s="558"/>
      <c r="I1" s="401"/>
      <c r="K1" s="401"/>
      <c r="L1" s="401"/>
      <c r="M1" s="401"/>
    </row>
    <row r="2" spans="1:13">
      <c r="A2" s="558" t="s">
        <v>266</v>
      </c>
      <c r="B2" s="558"/>
      <c r="C2" s="558"/>
      <c r="D2" s="558"/>
      <c r="E2" s="558"/>
      <c r="F2" s="558"/>
      <c r="G2" s="558"/>
      <c r="H2" s="558"/>
      <c r="I2" s="401"/>
      <c r="K2" s="401"/>
      <c r="L2" s="401"/>
      <c r="M2" s="401"/>
    </row>
    <row r="3" spans="1:13">
      <c r="A3" s="559" t="s">
        <v>416</v>
      </c>
      <c r="B3" s="559"/>
      <c r="C3" s="559"/>
      <c r="D3" s="559"/>
      <c r="E3" s="559"/>
      <c r="F3" s="559"/>
      <c r="G3" s="559"/>
      <c r="H3" s="559"/>
      <c r="I3" s="401"/>
      <c r="K3" s="401"/>
      <c r="L3" s="401"/>
      <c r="M3" s="401"/>
    </row>
    <row r="4" spans="1:13">
      <c r="A4" s="539"/>
      <c r="B4" s="540"/>
      <c r="C4" s="541"/>
      <c r="D4" s="542"/>
      <c r="E4" s="541"/>
      <c r="F4" s="541"/>
      <c r="G4" s="541"/>
      <c r="H4" s="401"/>
      <c r="I4" s="401"/>
      <c r="K4" s="401"/>
      <c r="L4" s="401"/>
      <c r="M4" s="401"/>
    </row>
    <row r="5" spans="1:13" ht="69" customHeight="1">
      <c r="A5" s="396" t="s">
        <v>1</v>
      </c>
      <c r="B5" s="397" t="s">
        <v>0</v>
      </c>
      <c r="C5" s="398" t="s">
        <v>233</v>
      </c>
      <c r="D5" s="399" t="s">
        <v>32</v>
      </c>
      <c r="E5" s="400" t="s">
        <v>374</v>
      </c>
      <c r="F5" s="400" t="s">
        <v>152</v>
      </c>
      <c r="G5" s="400" t="s">
        <v>153</v>
      </c>
      <c r="H5" s="400" t="s">
        <v>200</v>
      </c>
      <c r="I5" s="401"/>
      <c r="K5" s="401"/>
      <c r="L5" s="401"/>
      <c r="M5" s="401"/>
    </row>
    <row r="6" spans="1:13">
      <c r="A6" s="85" t="s">
        <v>24</v>
      </c>
      <c r="B6" s="86" t="s">
        <v>7</v>
      </c>
      <c r="C6" s="387">
        <v>444.1</v>
      </c>
      <c r="D6" s="87">
        <v>0</v>
      </c>
      <c r="E6" s="387">
        <v>444.1</v>
      </c>
      <c r="F6" s="388">
        <v>419.4</v>
      </c>
      <c r="G6" s="387">
        <v>423.70000000000005</v>
      </c>
      <c r="H6" s="387">
        <f>+E6-G6</f>
        <v>20.399999999999977</v>
      </c>
      <c r="I6" s="402"/>
      <c r="J6" s="401"/>
      <c r="K6" s="402"/>
      <c r="L6" s="402"/>
      <c r="M6" s="402"/>
    </row>
    <row r="7" spans="1:13">
      <c r="A7" s="88" t="s">
        <v>126</v>
      </c>
      <c r="B7" s="89"/>
      <c r="C7" s="389">
        <f>SUM(C6)</f>
        <v>444.1</v>
      </c>
      <c r="D7" s="389">
        <f t="shared" ref="D7:H7" si="0">SUM(D6)</f>
        <v>0</v>
      </c>
      <c r="E7" s="389">
        <f t="shared" si="0"/>
        <v>444.1</v>
      </c>
      <c r="F7" s="389">
        <f t="shared" si="0"/>
        <v>419.4</v>
      </c>
      <c r="G7" s="389">
        <f t="shared" si="0"/>
        <v>423.70000000000005</v>
      </c>
      <c r="H7" s="389">
        <f t="shared" si="0"/>
        <v>20.399999999999977</v>
      </c>
      <c r="I7" s="402"/>
      <c r="J7" s="401"/>
      <c r="K7" s="402"/>
      <c r="L7" s="402"/>
      <c r="M7" s="402"/>
    </row>
    <row r="8" spans="1:13">
      <c r="A8" s="85" t="s">
        <v>25</v>
      </c>
      <c r="B8" s="86" t="s">
        <v>8</v>
      </c>
      <c r="C8" s="388">
        <v>9335.9000000000015</v>
      </c>
      <c r="D8" s="91">
        <v>0</v>
      </c>
      <c r="E8" s="388">
        <v>9340.2999999999993</v>
      </c>
      <c r="F8" s="388">
        <v>9406.7000000000007</v>
      </c>
      <c r="G8" s="388">
        <v>10024.799999999999</v>
      </c>
      <c r="H8" s="388">
        <f t="shared" ref="H8:H19" si="1">+E8-G8</f>
        <v>-684.5</v>
      </c>
      <c r="I8" s="402"/>
      <c r="J8" s="401"/>
      <c r="K8" s="402"/>
      <c r="L8" s="402"/>
      <c r="M8" s="402"/>
    </row>
    <row r="9" spans="1:13">
      <c r="A9" s="85" t="s">
        <v>26</v>
      </c>
      <c r="B9" s="86" t="s">
        <v>9</v>
      </c>
      <c r="C9" s="388">
        <v>560.5999999999998</v>
      </c>
      <c r="D9" s="91">
        <v>0</v>
      </c>
      <c r="E9" s="388">
        <v>549.1</v>
      </c>
      <c r="F9" s="388">
        <v>525.1</v>
      </c>
      <c r="G9" s="388">
        <v>537.6</v>
      </c>
      <c r="H9" s="388">
        <f t="shared" si="1"/>
        <v>11.5</v>
      </c>
      <c r="I9" s="402"/>
      <c r="J9" s="401"/>
      <c r="K9" s="402"/>
      <c r="L9" s="403"/>
      <c r="M9" s="402"/>
    </row>
    <row r="10" spans="1:13">
      <c r="A10" s="85" t="s">
        <v>27</v>
      </c>
      <c r="B10" s="86" t="s">
        <v>189</v>
      </c>
      <c r="C10" s="388">
        <v>0</v>
      </c>
      <c r="D10" s="91">
        <v>0</v>
      </c>
      <c r="E10" s="388">
        <v>0</v>
      </c>
      <c r="F10" s="388">
        <v>0</v>
      </c>
      <c r="G10" s="388">
        <v>0</v>
      </c>
      <c r="H10" s="388">
        <f t="shared" si="1"/>
        <v>0</v>
      </c>
      <c r="I10" s="402"/>
      <c r="J10" s="401"/>
      <c r="K10" s="402"/>
      <c r="L10" s="394"/>
      <c r="M10" s="402"/>
    </row>
    <row r="11" spans="1:13">
      <c r="A11" s="85" t="s">
        <v>28</v>
      </c>
      <c r="B11" s="86" t="s">
        <v>10</v>
      </c>
      <c r="C11" s="388">
        <v>0</v>
      </c>
      <c r="D11" s="91">
        <v>0</v>
      </c>
      <c r="E11" s="388">
        <v>0</v>
      </c>
      <c r="F11" s="388">
        <v>0</v>
      </c>
      <c r="G11" s="388">
        <v>0</v>
      </c>
      <c r="H11" s="388">
        <f t="shared" si="1"/>
        <v>0</v>
      </c>
      <c r="I11" s="402"/>
      <c r="J11" s="402"/>
      <c r="K11" s="402"/>
      <c r="L11" s="394"/>
      <c r="M11" s="402"/>
    </row>
    <row r="12" spans="1:13">
      <c r="A12" s="85" t="s">
        <v>29</v>
      </c>
      <c r="B12" s="86" t="s">
        <v>191</v>
      </c>
      <c r="C12" s="388">
        <v>0</v>
      </c>
      <c r="D12" s="91">
        <v>0</v>
      </c>
      <c r="E12" s="388">
        <v>0</v>
      </c>
      <c r="F12" s="388">
        <v>0</v>
      </c>
      <c r="G12" s="388">
        <v>0</v>
      </c>
      <c r="H12" s="388">
        <f t="shared" si="1"/>
        <v>0</v>
      </c>
      <c r="I12" s="402"/>
      <c r="J12" s="402"/>
      <c r="K12" s="402"/>
      <c r="L12" s="394"/>
      <c r="M12" s="402"/>
    </row>
    <row r="13" spans="1:13">
      <c r="A13" s="85" t="s">
        <v>114</v>
      </c>
      <c r="B13" s="86" t="s">
        <v>11</v>
      </c>
      <c r="C13" s="388">
        <v>0</v>
      </c>
      <c r="D13" s="91">
        <v>0</v>
      </c>
      <c r="E13" s="388">
        <v>0</v>
      </c>
      <c r="F13" s="388">
        <v>0</v>
      </c>
      <c r="G13" s="388">
        <v>0</v>
      </c>
      <c r="H13" s="388">
        <f t="shared" si="1"/>
        <v>0</v>
      </c>
      <c r="I13" s="402"/>
      <c r="J13" s="402"/>
      <c r="K13" s="402"/>
      <c r="L13" s="394"/>
      <c r="M13" s="402"/>
    </row>
    <row r="14" spans="1:13">
      <c r="A14" s="85" t="s">
        <v>115</v>
      </c>
      <c r="B14" s="86" t="s">
        <v>201</v>
      </c>
      <c r="C14" s="388">
        <v>0</v>
      </c>
      <c r="D14" s="91">
        <v>0</v>
      </c>
      <c r="E14" s="388">
        <v>0</v>
      </c>
      <c r="F14" s="388">
        <v>0</v>
      </c>
      <c r="G14" s="388">
        <v>0</v>
      </c>
      <c r="H14" s="388">
        <f t="shared" si="1"/>
        <v>0</v>
      </c>
      <c r="I14" s="402"/>
      <c r="J14" s="403"/>
      <c r="K14" s="402"/>
      <c r="L14" s="394"/>
      <c r="M14" s="402"/>
    </row>
    <row r="15" spans="1:13">
      <c r="A15" s="85" t="s">
        <v>116</v>
      </c>
      <c r="B15" s="86" t="s">
        <v>12</v>
      </c>
      <c r="C15" s="388">
        <v>0</v>
      </c>
      <c r="D15" s="91">
        <v>0</v>
      </c>
      <c r="E15" s="388">
        <v>0</v>
      </c>
      <c r="F15" s="388">
        <v>0</v>
      </c>
      <c r="G15" s="388">
        <v>0</v>
      </c>
      <c r="H15" s="388">
        <f t="shared" si="1"/>
        <v>0</v>
      </c>
      <c r="I15" s="402"/>
      <c r="J15" s="403"/>
      <c r="K15" s="402"/>
      <c r="L15" s="394"/>
      <c r="M15" s="402"/>
    </row>
    <row r="16" spans="1:13">
      <c r="A16" s="85" t="s">
        <v>117</v>
      </c>
      <c r="B16" s="86" t="s">
        <v>13</v>
      </c>
      <c r="C16" s="388">
        <v>0</v>
      </c>
      <c r="D16" s="91">
        <v>0</v>
      </c>
      <c r="E16" s="388">
        <v>0</v>
      </c>
      <c r="F16" s="388">
        <v>0</v>
      </c>
      <c r="G16" s="388">
        <v>0</v>
      </c>
      <c r="H16" s="388">
        <f t="shared" si="1"/>
        <v>0</v>
      </c>
      <c r="I16" s="402"/>
      <c r="J16" s="403"/>
      <c r="K16" s="402"/>
      <c r="L16" s="394"/>
      <c r="M16" s="402"/>
    </row>
    <row r="17" spans="1:13">
      <c r="A17" s="85" t="s">
        <v>118</v>
      </c>
      <c r="B17" s="86" t="s">
        <v>145</v>
      </c>
      <c r="C17" s="388">
        <v>0</v>
      </c>
      <c r="D17" s="91">
        <v>0</v>
      </c>
      <c r="E17" s="388">
        <v>0</v>
      </c>
      <c r="F17" s="388">
        <v>0</v>
      </c>
      <c r="G17" s="388">
        <v>0</v>
      </c>
      <c r="H17" s="388">
        <f t="shared" si="1"/>
        <v>0</v>
      </c>
      <c r="I17" s="402"/>
      <c r="J17" s="403"/>
      <c r="K17" s="402"/>
      <c r="L17" s="394"/>
      <c r="M17" s="402"/>
    </row>
    <row r="18" spans="1:13">
      <c r="A18" s="85" t="s">
        <v>119</v>
      </c>
      <c r="B18" s="86" t="s">
        <v>196</v>
      </c>
      <c r="C18" s="388">
        <v>0</v>
      </c>
      <c r="D18" s="91">
        <v>0</v>
      </c>
      <c r="E18" s="388">
        <v>0</v>
      </c>
      <c r="F18" s="388">
        <v>0</v>
      </c>
      <c r="G18" s="388">
        <v>0</v>
      </c>
      <c r="H18" s="388">
        <f t="shared" si="1"/>
        <v>0</v>
      </c>
      <c r="I18" s="402"/>
      <c r="J18" s="404"/>
      <c r="K18" s="402"/>
      <c r="L18" s="394"/>
      <c r="M18" s="394"/>
    </row>
    <row r="19" spans="1:13">
      <c r="A19" s="85" t="s">
        <v>120</v>
      </c>
      <c r="B19" s="86" t="s">
        <v>225</v>
      </c>
      <c r="C19" s="388">
        <v>0</v>
      </c>
      <c r="D19" s="91">
        <v>0</v>
      </c>
      <c r="E19" s="388">
        <v>0</v>
      </c>
      <c r="F19" s="388">
        <v>0</v>
      </c>
      <c r="G19" s="388">
        <v>0</v>
      </c>
      <c r="H19" s="388">
        <f t="shared" si="1"/>
        <v>0</v>
      </c>
      <c r="I19" s="402"/>
      <c r="J19" s="404"/>
      <c r="K19" s="402"/>
      <c r="L19" s="394"/>
      <c r="M19" s="394"/>
    </row>
    <row r="20" spans="1:13">
      <c r="A20" s="88" t="s">
        <v>127</v>
      </c>
      <c r="B20" s="89"/>
      <c r="C20" s="389">
        <f>SUM(C8:C19)</f>
        <v>9896.5000000000018</v>
      </c>
      <c r="D20" s="389">
        <f t="shared" ref="D20:H20" si="2">SUM(D8:D19)</f>
        <v>0</v>
      </c>
      <c r="E20" s="389">
        <f t="shared" si="2"/>
        <v>9889.4</v>
      </c>
      <c r="F20" s="389">
        <f t="shared" si="2"/>
        <v>9931.8000000000011</v>
      </c>
      <c r="G20" s="389">
        <f t="shared" si="2"/>
        <v>10562.4</v>
      </c>
      <c r="H20" s="389">
        <f t="shared" si="2"/>
        <v>-673</v>
      </c>
      <c r="I20" s="402"/>
      <c r="J20" s="404"/>
      <c r="K20" s="403"/>
      <c r="L20" s="394"/>
      <c r="M20" s="394"/>
    </row>
    <row r="21" spans="1:13">
      <c r="A21" s="85" t="s">
        <v>30</v>
      </c>
      <c r="B21" s="86" t="s">
        <v>14</v>
      </c>
      <c r="C21" s="388">
        <v>0</v>
      </c>
      <c r="D21" s="91">
        <v>0</v>
      </c>
      <c r="E21" s="388">
        <v>0</v>
      </c>
      <c r="F21" s="388">
        <v>0</v>
      </c>
      <c r="G21" s="388">
        <v>0</v>
      </c>
      <c r="H21" s="388">
        <f t="shared" ref="H21:H26" si="3">+E21-G21</f>
        <v>0</v>
      </c>
      <c r="I21" s="402"/>
      <c r="J21" s="404"/>
      <c r="K21" s="403"/>
      <c r="L21" s="394"/>
      <c r="M21" s="394"/>
    </row>
    <row r="22" spans="1:13">
      <c r="A22" s="85" t="s">
        <v>121</v>
      </c>
      <c r="B22" s="86" t="s">
        <v>15</v>
      </c>
      <c r="C22" s="388">
        <v>0</v>
      </c>
      <c r="D22" s="91">
        <v>0</v>
      </c>
      <c r="E22" s="388">
        <v>0</v>
      </c>
      <c r="F22" s="388">
        <v>0</v>
      </c>
      <c r="G22" s="388">
        <v>0</v>
      </c>
      <c r="H22" s="388">
        <f t="shared" si="3"/>
        <v>0</v>
      </c>
      <c r="I22" s="402"/>
      <c r="J22" s="404"/>
      <c r="K22" s="403"/>
      <c r="L22" s="394"/>
      <c r="M22" s="394"/>
    </row>
    <row r="23" spans="1:13">
      <c r="A23" s="85" t="s">
        <v>122</v>
      </c>
      <c r="B23" s="86" t="s">
        <v>202</v>
      </c>
      <c r="C23" s="388">
        <v>0</v>
      </c>
      <c r="D23" s="91">
        <v>0</v>
      </c>
      <c r="E23" s="388">
        <v>0</v>
      </c>
      <c r="F23" s="388">
        <v>0</v>
      </c>
      <c r="G23" s="388">
        <v>0</v>
      </c>
      <c r="H23" s="388">
        <f t="shared" si="3"/>
        <v>0</v>
      </c>
      <c r="I23" s="402"/>
      <c r="J23" s="128"/>
      <c r="K23" s="403"/>
      <c r="L23" s="394"/>
      <c r="M23" s="394"/>
    </row>
    <row r="24" spans="1:13">
      <c r="A24" s="85" t="s">
        <v>104</v>
      </c>
      <c r="B24" s="86" t="s">
        <v>17</v>
      </c>
      <c r="C24" s="388">
        <v>2</v>
      </c>
      <c r="D24" s="91">
        <v>0</v>
      </c>
      <c r="E24" s="388">
        <v>2</v>
      </c>
      <c r="F24" s="388">
        <v>1.8</v>
      </c>
      <c r="G24" s="388">
        <v>1</v>
      </c>
      <c r="H24" s="388">
        <f t="shared" si="3"/>
        <v>1</v>
      </c>
      <c r="I24" s="402"/>
      <c r="J24" s="128"/>
      <c r="K24" s="403"/>
      <c r="L24" s="394"/>
      <c r="M24" s="394"/>
    </row>
    <row r="25" spans="1:13">
      <c r="A25" s="85" t="s">
        <v>105</v>
      </c>
      <c r="B25" s="86" t="s">
        <v>149</v>
      </c>
      <c r="C25" s="388">
        <v>0</v>
      </c>
      <c r="D25" s="91">
        <v>0</v>
      </c>
      <c r="E25" s="388">
        <v>0</v>
      </c>
      <c r="F25" s="388">
        <v>0</v>
      </c>
      <c r="G25" s="388">
        <v>0</v>
      </c>
      <c r="H25" s="388">
        <f t="shared" si="3"/>
        <v>0</v>
      </c>
      <c r="I25" s="402"/>
      <c r="J25" s="128"/>
      <c r="K25" s="403"/>
      <c r="L25" s="394"/>
      <c r="M25" s="394"/>
    </row>
    <row r="26" spans="1:13">
      <c r="A26" s="85" t="s">
        <v>123</v>
      </c>
      <c r="B26" s="86" t="s">
        <v>150</v>
      </c>
      <c r="C26" s="388">
        <v>33.799999999999997</v>
      </c>
      <c r="D26" s="91">
        <v>27</v>
      </c>
      <c r="E26" s="388">
        <v>61.9</v>
      </c>
      <c r="F26" s="388">
        <v>54.2</v>
      </c>
      <c r="G26" s="388">
        <v>53.6</v>
      </c>
      <c r="H26" s="388">
        <f t="shared" si="3"/>
        <v>8.2999999999999972</v>
      </c>
      <c r="I26" s="402"/>
      <c r="J26" s="128"/>
      <c r="K26" s="403"/>
      <c r="L26" s="403"/>
      <c r="M26" s="394"/>
    </row>
    <row r="27" spans="1:13">
      <c r="A27" s="88" t="s">
        <v>128</v>
      </c>
      <c r="B27" s="89"/>
      <c r="C27" s="389">
        <f>SUM(C21:C26)</f>
        <v>35.799999999999997</v>
      </c>
      <c r="D27" s="389">
        <f t="shared" ref="D27:H27" si="4">SUM(D21:D26)</f>
        <v>27</v>
      </c>
      <c r="E27" s="389">
        <f t="shared" si="4"/>
        <v>63.9</v>
      </c>
      <c r="F27" s="389">
        <f t="shared" si="4"/>
        <v>56</v>
      </c>
      <c r="G27" s="389">
        <f t="shared" si="4"/>
        <v>54.6</v>
      </c>
      <c r="H27" s="389">
        <f t="shared" si="4"/>
        <v>9.2999999999999972</v>
      </c>
      <c r="I27" s="402"/>
      <c r="J27" s="128"/>
      <c r="K27" s="403"/>
      <c r="L27" s="403"/>
      <c r="M27" s="394"/>
    </row>
    <row r="28" spans="1:13">
      <c r="A28" s="85" t="s">
        <v>106</v>
      </c>
      <c r="B28" s="86" t="s">
        <v>18</v>
      </c>
      <c r="C28" s="388">
        <v>1006.5</v>
      </c>
      <c r="D28" s="91">
        <v>0</v>
      </c>
      <c r="E28" s="388">
        <v>1013.7</v>
      </c>
      <c r="F28" s="388">
        <v>949.7</v>
      </c>
      <c r="G28" s="388">
        <v>937.2</v>
      </c>
      <c r="H28" s="388">
        <f t="shared" ref="H28:H30" si="5">+E28-G28</f>
        <v>76.5</v>
      </c>
      <c r="I28" s="402"/>
      <c r="J28" s="128"/>
      <c r="K28" s="403"/>
      <c r="L28" s="403"/>
      <c r="M28" s="394"/>
    </row>
    <row r="29" spans="1:13">
      <c r="A29" s="85" t="s">
        <v>107</v>
      </c>
      <c r="B29" s="86" t="s">
        <v>124</v>
      </c>
      <c r="C29" s="388">
        <v>84.8</v>
      </c>
      <c r="D29" s="91">
        <v>0</v>
      </c>
      <c r="E29" s="388">
        <v>77.3</v>
      </c>
      <c r="F29" s="388">
        <v>70.7</v>
      </c>
      <c r="G29" s="388">
        <v>72.599999999999994</v>
      </c>
      <c r="H29" s="388">
        <f t="shared" si="5"/>
        <v>4.7000000000000028</v>
      </c>
      <c r="I29" s="402"/>
      <c r="J29" s="128"/>
      <c r="K29" s="403"/>
      <c r="L29" s="403"/>
      <c r="M29" s="394"/>
    </row>
    <row r="30" spans="1:13">
      <c r="A30" s="85" t="s">
        <v>108</v>
      </c>
      <c r="B30" s="86" t="s">
        <v>203</v>
      </c>
      <c r="C30" s="388">
        <v>0</v>
      </c>
      <c r="D30" s="91">
        <v>0</v>
      </c>
      <c r="E30" s="388">
        <v>0</v>
      </c>
      <c r="F30" s="388">
        <v>0</v>
      </c>
      <c r="G30" s="388">
        <v>0</v>
      </c>
      <c r="H30" s="388">
        <f t="shared" si="5"/>
        <v>0</v>
      </c>
      <c r="I30" s="402"/>
      <c r="J30" s="403"/>
      <c r="K30" s="403"/>
      <c r="L30" s="402"/>
    </row>
    <row r="31" spans="1:13">
      <c r="A31" s="560" t="s">
        <v>129</v>
      </c>
      <c r="B31" s="561"/>
      <c r="C31" s="390">
        <f>SUM(C28:C30)</f>
        <v>1091.3</v>
      </c>
      <c r="D31" s="390">
        <f t="shared" ref="D31:H31" si="6">SUM(D28:D30)</f>
        <v>0</v>
      </c>
      <c r="E31" s="390">
        <f t="shared" si="6"/>
        <v>1091</v>
      </c>
      <c r="F31" s="390">
        <f t="shared" si="6"/>
        <v>1020.4000000000001</v>
      </c>
      <c r="G31" s="390">
        <f t="shared" si="6"/>
        <v>1009.8000000000001</v>
      </c>
      <c r="H31" s="390">
        <f t="shared" si="6"/>
        <v>81.2</v>
      </c>
      <c r="I31" s="402"/>
      <c r="J31" s="403"/>
      <c r="K31" s="403"/>
      <c r="L31" s="402"/>
    </row>
    <row r="32" spans="1:13">
      <c r="A32" s="85" t="s">
        <v>109</v>
      </c>
      <c r="B32" s="86" t="s">
        <v>19</v>
      </c>
      <c r="C32" s="388">
        <v>728.7</v>
      </c>
      <c r="D32" s="90">
        <v>0</v>
      </c>
      <c r="E32" s="388">
        <v>726.8</v>
      </c>
      <c r="F32" s="388">
        <v>684.8</v>
      </c>
      <c r="G32" s="388">
        <v>685.9</v>
      </c>
      <c r="H32" s="388">
        <f>+E32-G32</f>
        <v>40.899999999999977</v>
      </c>
      <c r="I32" s="402"/>
      <c r="J32" s="403"/>
      <c r="K32" s="403"/>
      <c r="L32" s="402"/>
    </row>
    <row r="33" spans="1:14" s="405" customFormat="1">
      <c r="A33" s="88" t="s">
        <v>130</v>
      </c>
      <c r="B33" s="94"/>
      <c r="C33" s="389">
        <f>SUM(C32)</f>
        <v>728.7</v>
      </c>
      <c r="D33" s="389">
        <f t="shared" ref="D33:H33" si="7">SUM(D32)</f>
        <v>0</v>
      </c>
      <c r="E33" s="389">
        <f t="shared" si="7"/>
        <v>726.8</v>
      </c>
      <c r="F33" s="389">
        <f t="shared" si="7"/>
        <v>684.8</v>
      </c>
      <c r="G33" s="389">
        <f t="shared" si="7"/>
        <v>685.9</v>
      </c>
      <c r="H33" s="389">
        <f t="shared" si="7"/>
        <v>40.899999999999977</v>
      </c>
      <c r="I33" s="402"/>
      <c r="J33" s="403"/>
      <c r="K33" s="403"/>
      <c r="L33" s="402"/>
    </row>
    <row r="34" spans="1:14">
      <c r="A34" s="92" t="s">
        <v>110</v>
      </c>
      <c r="B34" s="93" t="s">
        <v>20</v>
      </c>
      <c r="C34" s="387">
        <v>260.10000000000002</v>
      </c>
      <c r="D34" s="87">
        <v>0</v>
      </c>
      <c r="E34" s="387">
        <v>274.7</v>
      </c>
      <c r="F34" s="387">
        <v>224.4</v>
      </c>
      <c r="G34" s="387">
        <v>219.3</v>
      </c>
      <c r="H34" s="388">
        <f t="shared" ref="H34:H37" si="8">+E34-G34</f>
        <v>55.399999999999977</v>
      </c>
      <c r="I34" s="402"/>
      <c r="J34" s="403"/>
      <c r="K34" s="403"/>
      <c r="L34" s="402"/>
    </row>
    <row r="35" spans="1:14">
      <c r="A35" s="85" t="s">
        <v>111</v>
      </c>
      <c r="B35" s="86" t="s">
        <v>21</v>
      </c>
      <c r="C35" s="388">
        <v>182</v>
      </c>
      <c r="D35" s="91">
        <v>0</v>
      </c>
      <c r="E35" s="388">
        <v>180.4</v>
      </c>
      <c r="F35" s="388">
        <v>145.19999999999999</v>
      </c>
      <c r="G35" s="388">
        <v>148.6</v>
      </c>
      <c r="H35" s="388">
        <f t="shared" si="8"/>
        <v>31.800000000000011</v>
      </c>
      <c r="I35" s="402"/>
      <c r="J35" s="402"/>
      <c r="K35" s="402"/>
      <c r="L35" s="402"/>
    </row>
    <row r="36" spans="1:14">
      <c r="A36" s="85" t="s">
        <v>112</v>
      </c>
      <c r="B36" s="86" t="s">
        <v>22</v>
      </c>
      <c r="C36" s="388">
        <v>12.1</v>
      </c>
      <c r="D36" s="91">
        <v>0</v>
      </c>
      <c r="E36" s="388">
        <v>5</v>
      </c>
      <c r="F36" s="388">
        <v>5</v>
      </c>
      <c r="G36" s="388">
        <v>5</v>
      </c>
      <c r="H36" s="388">
        <f t="shared" si="8"/>
        <v>0</v>
      </c>
      <c r="I36" s="402"/>
      <c r="J36" s="402"/>
      <c r="K36" s="402"/>
      <c r="L36" s="402"/>
    </row>
    <row r="37" spans="1:14">
      <c r="A37" s="85" t="s">
        <v>113</v>
      </c>
      <c r="B37" s="86" t="s">
        <v>23</v>
      </c>
      <c r="C37" s="388">
        <v>205</v>
      </c>
      <c r="D37" s="91">
        <v>0</v>
      </c>
      <c r="E37" s="388">
        <v>207.3</v>
      </c>
      <c r="F37" s="388">
        <v>153.30000000000001</v>
      </c>
      <c r="G37" s="388">
        <v>150.9</v>
      </c>
      <c r="H37" s="388">
        <f t="shared" si="8"/>
        <v>56.400000000000006</v>
      </c>
      <c r="I37" s="402"/>
      <c r="J37" s="402"/>
      <c r="K37" s="402"/>
      <c r="L37" s="402"/>
    </row>
    <row r="38" spans="1:14" s="405" customFormat="1">
      <c r="A38" s="88" t="s">
        <v>131</v>
      </c>
      <c r="B38" s="94"/>
      <c r="C38" s="389">
        <f>SUM(C34:C37)</f>
        <v>659.2</v>
      </c>
      <c r="D38" s="389">
        <f t="shared" ref="D38:H38" si="9">SUM(D34:D37)</f>
        <v>0</v>
      </c>
      <c r="E38" s="389">
        <f t="shared" si="9"/>
        <v>667.40000000000009</v>
      </c>
      <c r="F38" s="389">
        <f t="shared" si="9"/>
        <v>527.90000000000009</v>
      </c>
      <c r="G38" s="389">
        <f t="shared" si="9"/>
        <v>523.79999999999995</v>
      </c>
      <c r="H38" s="389">
        <f t="shared" si="9"/>
        <v>143.6</v>
      </c>
      <c r="I38" s="402"/>
      <c r="J38" s="402"/>
      <c r="K38" s="402"/>
      <c r="L38" s="402"/>
    </row>
    <row r="39" spans="1:14">
      <c r="A39" s="85" t="s">
        <v>199</v>
      </c>
      <c r="B39" s="86" t="s">
        <v>204</v>
      </c>
      <c r="C39" s="388">
        <v>0</v>
      </c>
      <c r="D39" s="91">
        <v>0</v>
      </c>
      <c r="E39" s="388">
        <v>0</v>
      </c>
      <c r="F39" s="388">
        <v>0</v>
      </c>
      <c r="G39" s="388">
        <v>0</v>
      </c>
      <c r="H39" s="388">
        <f>+E39-G39</f>
        <v>0</v>
      </c>
      <c r="I39" s="402"/>
      <c r="J39" s="402"/>
      <c r="K39" s="402"/>
      <c r="L39" s="402"/>
    </row>
    <row r="40" spans="1:14" s="405" customFormat="1">
      <c r="A40" s="88" t="s">
        <v>205</v>
      </c>
      <c r="B40" s="94"/>
      <c r="C40" s="389">
        <f>SUM(C39)</f>
        <v>0</v>
      </c>
      <c r="D40" s="389">
        <f t="shared" ref="D40:H40" si="10">SUM(D39)</f>
        <v>0</v>
      </c>
      <c r="E40" s="389">
        <f t="shared" si="10"/>
        <v>0</v>
      </c>
      <c r="F40" s="389">
        <f t="shared" si="10"/>
        <v>0</v>
      </c>
      <c r="G40" s="389">
        <f t="shared" si="10"/>
        <v>0</v>
      </c>
      <c r="H40" s="389">
        <f t="shared" si="10"/>
        <v>0</v>
      </c>
      <c r="I40" s="402"/>
      <c r="J40" s="402"/>
      <c r="K40" s="402"/>
      <c r="L40" s="402"/>
    </row>
    <row r="41" spans="1:14" s="405" customFormat="1" ht="41.25" customHeight="1">
      <c r="A41" s="95" t="s">
        <v>2</v>
      </c>
      <c r="B41" s="94"/>
      <c r="C41" s="389">
        <f>SUM(C40,C38,C33,C31,C27,C20,C7)</f>
        <v>12855.600000000002</v>
      </c>
      <c r="D41" s="389">
        <f t="shared" ref="D41:H41" si="11">SUM(D40,D38,D33,D31,D27,D20,D7)</f>
        <v>27</v>
      </c>
      <c r="E41" s="389">
        <f t="shared" si="11"/>
        <v>12882.6</v>
      </c>
      <c r="F41" s="389">
        <f t="shared" si="11"/>
        <v>12640.300000000001</v>
      </c>
      <c r="G41" s="389">
        <f t="shared" si="11"/>
        <v>13260.2</v>
      </c>
      <c r="H41" s="389">
        <f t="shared" si="11"/>
        <v>-377.6</v>
      </c>
      <c r="I41" s="402"/>
      <c r="J41" s="402"/>
      <c r="K41" s="402"/>
      <c r="L41" s="402"/>
    </row>
    <row r="42" spans="1:14">
      <c r="J42" s="402"/>
      <c r="N42" s="406"/>
    </row>
    <row r="43" spans="1:14">
      <c r="A43" s="407" t="s">
        <v>375</v>
      </c>
      <c r="B43" s="401"/>
      <c r="C43" s="401"/>
      <c r="D43" s="401"/>
      <c r="E43" s="401"/>
      <c r="F43" s="401"/>
      <c r="G43" s="401"/>
      <c r="H43" s="408"/>
      <c r="I43" s="408"/>
      <c r="J43" s="408"/>
    </row>
    <row r="44" spans="1:14">
      <c r="A44" s="409" t="s">
        <v>376</v>
      </c>
      <c r="B44" s="401"/>
      <c r="C44" s="410"/>
      <c r="D44" s="401"/>
      <c r="E44" s="401"/>
      <c r="F44" s="401"/>
      <c r="G44" s="401"/>
      <c r="H44" s="408"/>
      <c r="I44" s="408"/>
      <c r="J44" s="408"/>
    </row>
    <row r="45" spans="1:14">
      <c r="A45" s="98" t="s">
        <v>411</v>
      </c>
      <c r="B45" s="98"/>
      <c r="J45" s="402"/>
    </row>
    <row r="46" spans="1:14">
      <c r="A46" s="411" t="s">
        <v>412</v>
      </c>
      <c r="B46" s="401"/>
      <c r="C46" s="401"/>
      <c r="D46" s="401"/>
      <c r="E46" s="401"/>
      <c r="F46" s="401"/>
      <c r="G46" s="401"/>
      <c r="H46" s="408"/>
      <c r="I46" s="408"/>
      <c r="J46" s="408"/>
    </row>
    <row r="47" spans="1:14">
      <c r="A47" s="412" t="s">
        <v>413</v>
      </c>
      <c r="B47" s="98"/>
      <c r="C47" s="413"/>
      <c r="D47" s="413"/>
      <c r="E47" s="413"/>
      <c r="F47" s="413"/>
      <c r="G47" s="413"/>
      <c r="H47" s="408"/>
      <c r="I47" s="408"/>
      <c r="J47" s="408"/>
    </row>
    <row r="48" spans="1:14">
      <c r="A48" s="98"/>
      <c r="B48" s="98"/>
      <c r="C48" s="96"/>
      <c r="D48" s="96"/>
      <c r="E48" s="96"/>
      <c r="F48" s="96"/>
      <c r="G48" s="96"/>
      <c r="J48" s="426"/>
      <c r="K48" s="427"/>
    </row>
    <row r="49" spans="3:11">
      <c r="C49" s="96"/>
      <c r="D49" s="96"/>
      <c r="E49" s="96"/>
      <c r="F49" s="96"/>
      <c r="G49" s="96"/>
      <c r="J49" s="426"/>
      <c r="K49" s="427"/>
    </row>
    <row r="50" spans="3:11">
      <c r="J50" s="426"/>
      <c r="K50" s="427"/>
    </row>
    <row r="51" spans="3:11">
      <c r="J51" s="426"/>
      <c r="K51" s="427"/>
    </row>
    <row r="52" spans="3:11">
      <c r="J52" s="402"/>
      <c r="K52" s="427"/>
    </row>
    <row r="53" spans="3:11">
      <c r="J53" s="402"/>
    </row>
    <row r="54" spans="3:11">
      <c r="J54" s="402"/>
    </row>
    <row r="55" spans="3:11">
      <c r="J55" s="402"/>
    </row>
    <row r="56" spans="3:11">
      <c r="J56" s="402"/>
    </row>
    <row r="57" spans="3:11">
      <c r="J57" s="402"/>
    </row>
    <row r="58" spans="3:11">
      <c r="J58" s="402"/>
    </row>
  </sheetData>
  <mergeCells count="4">
    <mergeCell ref="A1:H1"/>
    <mergeCell ref="A2:H2"/>
    <mergeCell ref="A3:H3"/>
    <mergeCell ref="A31:B31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89"/>
  <sheetViews>
    <sheetView topLeftCell="A25" zoomScale="80" zoomScaleNormal="80" workbookViewId="0">
      <selection activeCell="F13" sqref="F13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22.109375" style="14" bestFit="1" customWidth="1"/>
    <col min="8" max="8" width="18.33203125" style="14" hidden="1" customWidth="1"/>
    <col min="9" max="9" width="19.6640625" style="14" bestFit="1" customWidth="1"/>
    <col min="10" max="10" width="17.109375" style="14" bestFit="1" customWidth="1"/>
    <col min="11" max="11" width="19" style="1" bestFit="1" customWidth="1"/>
    <col min="12" max="12" width="19.5546875" style="1" customWidth="1"/>
    <col min="13" max="13" width="22.6640625" style="186" customWidth="1"/>
    <col min="14" max="14" width="15" style="1" customWidth="1"/>
    <col min="15" max="16384" width="9.109375" style="1"/>
  </cols>
  <sheetData>
    <row r="1" spans="1:20" s="4" customFormat="1" ht="16.2">
      <c r="A1" s="189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M1" s="185"/>
    </row>
    <row r="2" spans="1:20">
      <c r="A2" s="190" t="s">
        <v>260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20">
      <c r="A3" s="190" t="s">
        <v>423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20">
      <c r="A4" s="191"/>
      <c r="B4" s="192"/>
      <c r="C4" s="193"/>
      <c r="D4" s="194"/>
      <c r="E4" s="194"/>
      <c r="F4" s="194"/>
      <c r="G4" s="194"/>
      <c r="H4" s="194"/>
      <c r="I4" s="194"/>
      <c r="J4" s="194"/>
    </row>
    <row r="5" spans="1:20" s="15" customFormat="1">
      <c r="A5" s="195"/>
      <c r="B5" s="196" t="s">
        <v>249</v>
      </c>
      <c r="C5" s="197"/>
      <c r="D5" s="198" t="s">
        <v>170</v>
      </c>
      <c r="E5" s="198" t="s">
        <v>171</v>
      </c>
      <c r="F5" s="199" t="s">
        <v>287</v>
      </c>
      <c r="G5" s="199" t="s">
        <v>53</v>
      </c>
      <c r="H5" s="200" t="s">
        <v>54</v>
      </c>
      <c r="I5" s="197"/>
      <c r="J5" s="199"/>
      <c r="K5" s="191"/>
      <c r="M5" s="187"/>
    </row>
    <row r="6" spans="1:20" s="15" customFormat="1">
      <c r="A6" s="201" t="s">
        <v>51</v>
      </c>
      <c r="B6" s="202" t="s">
        <v>55</v>
      </c>
      <c r="C6" s="203" t="s">
        <v>31</v>
      </c>
      <c r="D6" s="204" t="s">
        <v>32</v>
      </c>
      <c r="E6" s="204" t="s">
        <v>32</v>
      </c>
      <c r="F6" s="203" t="s">
        <v>172</v>
      </c>
      <c r="G6" s="205" t="s">
        <v>38</v>
      </c>
      <c r="H6" s="206" t="s">
        <v>56</v>
      </c>
      <c r="I6" s="205" t="s">
        <v>34</v>
      </c>
      <c r="J6" s="205" t="s">
        <v>35</v>
      </c>
      <c r="K6" s="191"/>
      <c r="M6" s="187"/>
    </row>
    <row r="7" spans="1:20" s="15" customFormat="1">
      <c r="A7" s="207"/>
      <c r="B7" s="208"/>
      <c r="C7" s="208"/>
      <c r="D7" s="208"/>
      <c r="E7" s="208"/>
      <c r="F7" s="208"/>
      <c r="G7" s="209"/>
      <c r="H7" s="209"/>
      <c r="I7" s="209"/>
      <c r="J7" s="209"/>
      <c r="K7" s="191"/>
      <c r="M7" s="187"/>
    </row>
    <row r="8" spans="1:20" s="15" customFormat="1">
      <c r="A8" s="210" t="s">
        <v>57</v>
      </c>
      <c r="B8" s="211" t="s">
        <v>58</v>
      </c>
      <c r="C8" s="212">
        <v>734307786</v>
      </c>
      <c r="D8" s="212">
        <f>E8+F8</f>
        <v>87157672</v>
      </c>
      <c r="E8" s="212">
        <v>87157672</v>
      </c>
      <c r="F8" s="212">
        <v>0</v>
      </c>
      <c r="G8" s="212">
        <v>821465458</v>
      </c>
      <c r="H8" s="212">
        <v>586729631.09996724</v>
      </c>
      <c r="I8" s="212">
        <v>849314122</v>
      </c>
      <c r="J8" s="212">
        <f>G8-I8</f>
        <v>-27848664</v>
      </c>
      <c r="K8" s="213">
        <f>G8-C8-D8</f>
        <v>0</v>
      </c>
      <c r="M8" s="188"/>
    </row>
    <row r="9" spans="1:20" s="15" customFormat="1">
      <c r="A9" s="210" t="s">
        <v>59</v>
      </c>
      <c r="B9" s="211" t="s">
        <v>60</v>
      </c>
      <c r="C9" s="212">
        <v>11480121</v>
      </c>
      <c r="D9" s="212">
        <f t="shared" ref="D9:D11" si="0">E9+F9</f>
        <v>1871523</v>
      </c>
      <c r="E9" s="212">
        <v>1871523</v>
      </c>
      <c r="F9" s="212">
        <v>0</v>
      </c>
      <c r="G9" s="212">
        <v>13351644</v>
      </c>
      <c r="H9" s="212">
        <v>8838014.969999956</v>
      </c>
      <c r="I9" s="212">
        <v>12957686</v>
      </c>
      <c r="J9" s="212">
        <f>G9-I9</f>
        <v>393958</v>
      </c>
      <c r="K9" s="213">
        <f t="shared" ref="K9:K56" si="1">G9-C9-D9</f>
        <v>0</v>
      </c>
      <c r="M9" s="188"/>
    </row>
    <row r="10" spans="1:20" s="15" customFormat="1">
      <c r="A10" s="210" t="s">
        <v>61</v>
      </c>
      <c r="B10" s="211" t="s">
        <v>62</v>
      </c>
      <c r="C10" s="212">
        <v>8124749</v>
      </c>
      <c r="D10" s="212">
        <f t="shared" si="0"/>
        <v>0</v>
      </c>
      <c r="E10" s="212">
        <v>0</v>
      </c>
      <c r="F10" s="212">
        <v>0</v>
      </c>
      <c r="G10" s="212">
        <v>8124749</v>
      </c>
      <c r="H10" s="212">
        <v>2240172.75</v>
      </c>
      <c r="I10" s="212">
        <v>8124749</v>
      </c>
      <c r="J10" s="212">
        <f>G10-I10</f>
        <v>0</v>
      </c>
      <c r="K10" s="213">
        <f t="shared" si="1"/>
        <v>0</v>
      </c>
      <c r="L10" s="40"/>
      <c r="M10" s="188"/>
      <c r="O10" s="40"/>
      <c r="P10" s="40"/>
      <c r="Q10" s="40"/>
      <c r="R10" s="40"/>
      <c r="S10" s="40"/>
      <c r="T10" s="40"/>
    </row>
    <row r="11" spans="1:20" s="15" customFormat="1">
      <c r="A11" s="210" t="s">
        <v>138</v>
      </c>
      <c r="B11" s="214" t="s">
        <v>146</v>
      </c>
      <c r="C11" s="212">
        <v>172456496</v>
      </c>
      <c r="D11" s="212">
        <f t="shared" si="0"/>
        <v>-2824465</v>
      </c>
      <c r="E11" s="212">
        <v>-2824465</v>
      </c>
      <c r="F11" s="212">
        <v>0</v>
      </c>
      <c r="G11" s="212">
        <v>169632031</v>
      </c>
      <c r="H11" s="212">
        <v>118940612.91000007</v>
      </c>
      <c r="I11" s="212">
        <v>169632031</v>
      </c>
      <c r="J11" s="212">
        <f>G11-I11</f>
        <v>0</v>
      </c>
      <c r="K11" s="213">
        <f t="shared" si="1"/>
        <v>0</v>
      </c>
      <c r="M11" s="188"/>
    </row>
    <row r="12" spans="1:20" s="15" customFormat="1" ht="11.25" customHeight="1">
      <c r="A12" s="210"/>
      <c r="B12" s="214"/>
      <c r="C12" s="212"/>
      <c r="D12" s="212"/>
      <c r="E12" s="212"/>
      <c r="F12" s="212"/>
      <c r="G12" s="212"/>
      <c r="H12" s="212"/>
      <c r="I12" s="212"/>
      <c r="J12" s="212"/>
      <c r="K12" s="213">
        <f t="shared" si="1"/>
        <v>0</v>
      </c>
      <c r="M12" s="188"/>
    </row>
    <row r="13" spans="1:20" s="15" customFormat="1" ht="16.2">
      <c r="A13" s="215" t="s">
        <v>63</v>
      </c>
      <c r="B13" s="216"/>
      <c r="C13" s="217">
        <f t="shared" ref="C13:I13" si="2">SUM(C8:C11)</f>
        <v>926369152</v>
      </c>
      <c r="D13" s="217">
        <f t="shared" si="2"/>
        <v>86204730</v>
      </c>
      <c r="E13" s="217">
        <v>86204730</v>
      </c>
      <c r="F13" s="217">
        <f t="shared" si="2"/>
        <v>0</v>
      </c>
      <c r="G13" s="217">
        <f t="shared" si="2"/>
        <v>1012573882</v>
      </c>
      <c r="H13" s="217">
        <f t="shared" si="2"/>
        <v>716748431.72996724</v>
      </c>
      <c r="I13" s="217">
        <f t="shared" si="2"/>
        <v>1040028588</v>
      </c>
      <c r="J13" s="217">
        <f>SUM(J8:J11)</f>
        <v>-27454706</v>
      </c>
      <c r="K13" s="213">
        <f t="shared" si="1"/>
        <v>0</v>
      </c>
      <c r="M13" s="188"/>
    </row>
    <row r="14" spans="1:20" s="15" customFormat="1" ht="12" customHeight="1">
      <c r="A14" s="218"/>
      <c r="B14" s="219"/>
      <c r="C14" s="220"/>
      <c r="D14" s="220"/>
      <c r="E14" s="220"/>
      <c r="F14" s="220"/>
      <c r="G14" s="220"/>
      <c r="H14" s="220"/>
      <c r="I14" s="220"/>
      <c r="J14" s="220"/>
      <c r="K14" s="213">
        <f t="shared" si="1"/>
        <v>0</v>
      </c>
      <c r="M14" s="188"/>
    </row>
    <row r="15" spans="1:20" s="15" customFormat="1">
      <c r="A15" s="221" t="s">
        <v>64</v>
      </c>
      <c r="B15" s="222" t="s">
        <v>65</v>
      </c>
      <c r="C15" s="212">
        <v>5685701</v>
      </c>
      <c r="D15" s="212">
        <f t="shared" ref="D15" si="3">E15+F15</f>
        <v>0</v>
      </c>
      <c r="E15" s="212">
        <v>0</v>
      </c>
      <c r="F15" s="212">
        <v>0</v>
      </c>
      <c r="G15" s="212">
        <v>5685701</v>
      </c>
      <c r="H15" s="212">
        <v>5685701</v>
      </c>
      <c r="I15" s="212">
        <v>5685701</v>
      </c>
      <c r="J15" s="212">
        <f>G15-I15</f>
        <v>0</v>
      </c>
      <c r="K15" s="213">
        <f t="shared" si="1"/>
        <v>0</v>
      </c>
      <c r="M15" s="188"/>
    </row>
    <row r="16" spans="1:20" s="15" customFormat="1" ht="12.75" customHeight="1">
      <c r="A16" s="221"/>
      <c r="B16" s="222"/>
      <c r="C16" s="212"/>
      <c r="D16" s="212"/>
      <c r="E16" s="212"/>
      <c r="F16" s="212"/>
      <c r="G16" s="212"/>
      <c r="H16" s="212"/>
      <c r="I16" s="212"/>
      <c r="J16" s="212"/>
      <c r="K16" s="213">
        <f t="shared" si="1"/>
        <v>0</v>
      </c>
      <c r="M16" s="188"/>
    </row>
    <row r="17" spans="1:13" s="15" customFormat="1" ht="16.2">
      <c r="A17" s="215" t="s">
        <v>66</v>
      </c>
      <c r="B17" s="216"/>
      <c r="C17" s="217">
        <f t="shared" ref="C17:J17" si="4">SUM(C15:C15)</f>
        <v>5685701</v>
      </c>
      <c r="D17" s="217">
        <f t="shared" si="4"/>
        <v>0</v>
      </c>
      <c r="E17" s="217">
        <v>0</v>
      </c>
      <c r="F17" s="217">
        <f t="shared" si="4"/>
        <v>0</v>
      </c>
      <c r="G17" s="217">
        <f t="shared" ref="G17" si="5">SUM(G15:G15)</f>
        <v>5685701</v>
      </c>
      <c r="H17" s="217">
        <f t="shared" si="4"/>
        <v>5685701</v>
      </c>
      <c r="I17" s="217">
        <f t="shared" si="4"/>
        <v>5685701</v>
      </c>
      <c r="J17" s="217">
        <f t="shared" si="4"/>
        <v>0</v>
      </c>
      <c r="K17" s="213">
        <f t="shared" si="1"/>
        <v>0</v>
      </c>
      <c r="M17" s="188"/>
    </row>
    <row r="18" spans="1:13" s="19" customFormat="1" ht="16.2">
      <c r="A18" s="218"/>
      <c r="B18" s="219"/>
      <c r="C18" s="220"/>
      <c r="D18" s="220"/>
      <c r="E18" s="220"/>
      <c r="F18" s="220"/>
      <c r="G18" s="220"/>
      <c r="H18" s="220"/>
      <c r="I18" s="220"/>
      <c r="J18" s="220"/>
      <c r="K18" s="213">
        <f t="shared" si="1"/>
        <v>0</v>
      </c>
      <c r="M18" s="188"/>
    </row>
    <row r="19" spans="1:13" s="15" customFormat="1" ht="16.2">
      <c r="A19" s="215" t="s">
        <v>39</v>
      </c>
      <c r="B19" s="223"/>
      <c r="C19" s="217">
        <f>SUM(C17,C13)</f>
        <v>932054853</v>
      </c>
      <c r="D19" s="217">
        <f>SUM(D17,D13)</f>
        <v>86204730</v>
      </c>
      <c r="E19" s="217">
        <v>86204730</v>
      </c>
      <c r="F19" s="217">
        <f>SUM(F17,F13)</f>
        <v>0</v>
      </c>
      <c r="G19" s="217">
        <f t="shared" ref="G19" si="6">SUM(G17,G13)</f>
        <v>1018259583</v>
      </c>
      <c r="H19" s="217">
        <f>SUM(H17,H13)</f>
        <v>722434132.72996724</v>
      </c>
      <c r="I19" s="217">
        <f>SUM(I17,I13)</f>
        <v>1045714289</v>
      </c>
      <c r="J19" s="217">
        <f>SUM(J17,J13)</f>
        <v>-27454706</v>
      </c>
      <c r="K19" s="213">
        <f t="shared" si="1"/>
        <v>0</v>
      </c>
      <c r="M19" s="188"/>
    </row>
    <row r="20" spans="1:13" s="15" customFormat="1" ht="16.2">
      <c r="A20" s="218"/>
      <c r="B20" s="224"/>
      <c r="C20" s="220"/>
      <c r="D20" s="220"/>
      <c r="E20" s="220"/>
      <c r="F20" s="220"/>
      <c r="G20" s="220"/>
      <c r="H20" s="220"/>
      <c r="I20" s="220"/>
      <c r="J20" s="220"/>
      <c r="K20" s="213">
        <f t="shared" si="1"/>
        <v>0</v>
      </c>
      <c r="M20" s="188"/>
    </row>
    <row r="21" spans="1:13" s="15" customFormat="1">
      <c r="A21" s="225" t="s">
        <v>67</v>
      </c>
      <c r="B21" s="226" t="s">
        <v>140</v>
      </c>
      <c r="C21" s="212">
        <v>29778704</v>
      </c>
      <c r="D21" s="212">
        <f t="shared" ref="D21:D47" si="7">E21+F21</f>
        <v>-9606</v>
      </c>
      <c r="E21" s="212">
        <v>-9606</v>
      </c>
      <c r="F21" s="212">
        <v>0</v>
      </c>
      <c r="G21" s="212">
        <v>29769098</v>
      </c>
      <c r="H21" s="212">
        <v>19745922.87000002</v>
      </c>
      <c r="I21" s="212">
        <v>29769098</v>
      </c>
      <c r="J21" s="212">
        <f t="shared" ref="J21:J47" si="8">G21-I21</f>
        <v>0</v>
      </c>
      <c r="K21" s="213">
        <f t="shared" si="1"/>
        <v>0</v>
      </c>
      <c r="M21" s="188"/>
    </row>
    <row r="22" spans="1:13" s="15" customFormat="1">
      <c r="A22" s="225" t="s">
        <v>141</v>
      </c>
      <c r="B22" s="227" t="s">
        <v>139</v>
      </c>
      <c r="C22" s="212">
        <v>2797802</v>
      </c>
      <c r="D22" s="212">
        <f t="shared" si="7"/>
        <v>-1303593</v>
      </c>
      <c r="E22" s="212">
        <v>-1303593</v>
      </c>
      <c r="F22" s="212">
        <v>0</v>
      </c>
      <c r="G22" s="212">
        <v>1494209</v>
      </c>
      <c r="H22" s="212">
        <v>14759.1</v>
      </c>
      <c r="I22" s="212">
        <v>1494209</v>
      </c>
      <c r="J22" s="212">
        <f t="shared" si="8"/>
        <v>0</v>
      </c>
      <c r="K22" s="213">
        <f t="shared" si="1"/>
        <v>0</v>
      </c>
      <c r="M22" s="188"/>
    </row>
    <row r="23" spans="1:13" s="15" customFormat="1">
      <c r="A23" s="228" t="s">
        <v>68</v>
      </c>
      <c r="B23" s="229" t="s">
        <v>69</v>
      </c>
      <c r="C23" s="212">
        <v>303818749</v>
      </c>
      <c r="D23" s="212">
        <f t="shared" si="7"/>
        <v>75651484</v>
      </c>
      <c r="E23" s="212">
        <v>75651484</v>
      </c>
      <c r="F23" s="212">
        <v>0</v>
      </c>
      <c r="G23" s="212">
        <v>379470233</v>
      </c>
      <c r="H23" s="212">
        <v>196914299.00999948</v>
      </c>
      <c r="I23" s="212">
        <v>375564386</v>
      </c>
      <c r="J23" s="212">
        <f>G23-I23</f>
        <v>3905847</v>
      </c>
      <c r="K23" s="213">
        <f t="shared" si="1"/>
        <v>0</v>
      </c>
      <c r="M23" s="188"/>
    </row>
    <row r="24" spans="1:13" s="15" customFormat="1">
      <c r="A24" s="228" t="s">
        <v>70</v>
      </c>
      <c r="B24" s="229" t="s">
        <v>71</v>
      </c>
      <c r="C24" s="212">
        <v>6564254</v>
      </c>
      <c r="D24" s="212">
        <f t="shared" si="7"/>
        <v>-4113328</v>
      </c>
      <c r="E24" s="212">
        <v>-4113328</v>
      </c>
      <c r="F24" s="212">
        <v>0</v>
      </c>
      <c r="G24" s="212">
        <v>2450926</v>
      </c>
      <c r="H24" s="212">
        <v>1965242.06</v>
      </c>
      <c r="I24" s="212">
        <v>2386380</v>
      </c>
      <c r="J24" s="212">
        <f t="shared" si="8"/>
        <v>64546</v>
      </c>
      <c r="K24" s="213">
        <f t="shared" si="1"/>
        <v>0</v>
      </c>
      <c r="M24" s="188"/>
    </row>
    <row r="25" spans="1:13" s="15" customFormat="1">
      <c r="A25" s="228" t="s">
        <v>72</v>
      </c>
      <c r="B25" s="229" t="s">
        <v>73</v>
      </c>
      <c r="C25" s="212">
        <v>31158166</v>
      </c>
      <c r="D25" s="212">
        <f t="shared" si="7"/>
        <v>0</v>
      </c>
      <c r="E25" s="212">
        <v>0</v>
      </c>
      <c r="F25" s="212">
        <v>0</v>
      </c>
      <c r="G25" s="212">
        <v>31158166</v>
      </c>
      <c r="H25" s="212">
        <v>21906571.030000012</v>
      </c>
      <c r="I25" s="212">
        <v>31158166</v>
      </c>
      <c r="J25" s="212">
        <f t="shared" si="8"/>
        <v>0</v>
      </c>
      <c r="K25" s="213">
        <f t="shared" si="1"/>
        <v>0</v>
      </c>
      <c r="M25" s="188"/>
    </row>
    <row r="26" spans="1:13" s="15" customFormat="1">
      <c r="A26" s="230" t="s">
        <v>74</v>
      </c>
      <c r="B26" s="229" t="s">
        <v>75</v>
      </c>
      <c r="C26" s="212">
        <v>3207461</v>
      </c>
      <c r="D26" s="212">
        <f t="shared" si="7"/>
        <v>1088701</v>
      </c>
      <c r="E26" s="212">
        <v>1088701</v>
      </c>
      <c r="F26" s="212">
        <v>0</v>
      </c>
      <c r="G26" s="212">
        <v>4296162</v>
      </c>
      <c r="H26" s="212">
        <v>2453109.8800000008</v>
      </c>
      <c r="I26" s="212">
        <v>4296162</v>
      </c>
      <c r="J26" s="212">
        <f t="shared" si="8"/>
        <v>0</v>
      </c>
      <c r="K26" s="213">
        <f t="shared" si="1"/>
        <v>0</v>
      </c>
      <c r="M26" s="188"/>
    </row>
    <row r="27" spans="1:13" s="15" customFormat="1">
      <c r="A27" s="230" t="s">
        <v>76</v>
      </c>
      <c r="B27" s="229" t="s">
        <v>77</v>
      </c>
      <c r="C27" s="212">
        <v>5840638</v>
      </c>
      <c r="D27" s="212">
        <f t="shared" si="7"/>
        <v>-1758476</v>
      </c>
      <c r="E27" s="212">
        <v>-1758476</v>
      </c>
      <c r="F27" s="212">
        <v>0</v>
      </c>
      <c r="G27" s="212">
        <v>4082162</v>
      </c>
      <c r="H27" s="212">
        <v>1430547.29</v>
      </c>
      <c r="I27" s="212">
        <v>2290346</v>
      </c>
      <c r="J27" s="212">
        <f t="shared" si="8"/>
        <v>1791816</v>
      </c>
      <c r="K27" s="213">
        <f t="shared" si="1"/>
        <v>0</v>
      </c>
      <c r="M27" s="188"/>
    </row>
    <row r="28" spans="1:13" s="15" customFormat="1">
      <c r="A28" s="230" t="s">
        <v>78</v>
      </c>
      <c r="B28" s="231" t="s">
        <v>79</v>
      </c>
      <c r="C28" s="212">
        <v>8294000</v>
      </c>
      <c r="D28" s="212">
        <f t="shared" si="7"/>
        <v>1858665</v>
      </c>
      <c r="E28" s="212">
        <v>1858665</v>
      </c>
      <c r="F28" s="212">
        <v>0</v>
      </c>
      <c r="G28" s="212">
        <v>10152665</v>
      </c>
      <c r="H28" s="212">
        <v>0</v>
      </c>
      <c r="I28" s="212">
        <v>10152665</v>
      </c>
      <c r="J28" s="212">
        <f t="shared" si="8"/>
        <v>0</v>
      </c>
      <c r="K28" s="213">
        <f t="shared" si="1"/>
        <v>0</v>
      </c>
      <c r="M28" s="188"/>
    </row>
    <row r="29" spans="1:13" s="15" customFormat="1">
      <c r="A29" s="230" t="s">
        <v>144</v>
      </c>
      <c r="B29" s="231" t="s">
        <v>151</v>
      </c>
      <c r="C29" s="212">
        <v>0</v>
      </c>
      <c r="D29" s="212">
        <f t="shared" si="7"/>
        <v>119133</v>
      </c>
      <c r="E29" s="212">
        <v>119133</v>
      </c>
      <c r="F29" s="212">
        <v>0</v>
      </c>
      <c r="G29" s="212">
        <v>119133</v>
      </c>
      <c r="H29" s="212">
        <v>33978.5</v>
      </c>
      <c r="I29" s="212">
        <v>105481</v>
      </c>
      <c r="J29" s="212">
        <f t="shared" si="8"/>
        <v>13652</v>
      </c>
      <c r="K29" s="213">
        <f t="shared" si="1"/>
        <v>0</v>
      </c>
      <c r="M29" s="188"/>
    </row>
    <row r="30" spans="1:13" s="15" customFormat="1">
      <c r="A30" s="230" t="s">
        <v>80</v>
      </c>
      <c r="B30" s="231" t="s">
        <v>81</v>
      </c>
      <c r="C30" s="212">
        <v>24505492</v>
      </c>
      <c r="D30" s="212">
        <f t="shared" si="7"/>
        <v>3379156</v>
      </c>
      <c r="E30" s="212">
        <v>3032841</v>
      </c>
      <c r="F30" s="212">
        <v>346315</v>
      </c>
      <c r="G30" s="212">
        <v>27884648</v>
      </c>
      <c r="H30" s="212">
        <v>16278431.969999997</v>
      </c>
      <c r="I30" s="212">
        <v>27884648</v>
      </c>
      <c r="J30" s="212">
        <f t="shared" si="8"/>
        <v>0</v>
      </c>
      <c r="K30" s="213">
        <f t="shared" si="1"/>
        <v>0</v>
      </c>
      <c r="M30" s="188"/>
    </row>
    <row r="31" spans="1:13" s="15" customFormat="1">
      <c r="A31" s="230" t="s">
        <v>136</v>
      </c>
      <c r="B31" s="229" t="s">
        <v>134</v>
      </c>
      <c r="C31" s="212">
        <v>538707</v>
      </c>
      <c r="D31" s="212">
        <f t="shared" si="7"/>
        <v>449399</v>
      </c>
      <c r="E31" s="212">
        <v>555468</v>
      </c>
      <c r="F31" s="212">
        <v>-106069</v>
      </c>
      <c r="G31" s="212">
        <v>988106</v>
      </c>
      <c r="H31" s="212">
        <v>563146.60000000522</v>
      </c>
      <c r="I31" s="212">
        <v>988106</v>
      </c>
      <c r="J31" s="212">
        <f t="shared" si="8"/>
        <v>0</v>
      </c>
      <c r="K31" s="213">
        <f t="shared" si="1"/>
        <v>0</v>
      </c>
      <c r="M31" s="188"/>
    </row>
    <row r="32" spans="1:13" s="15" customFormat="1">
      <c r="A32" s="230" t="s">
        <v>137</v>
      </c>
      <c r="B32" s="229" t="s">
        <v>135</v>
      </c>
      <c r="C32" s="212">
        <v>7017336</v>
      </c>
      <c r="D32" s="212">
        <f t="shared" si="7"/>
        <v>-689324</v>
      </c>
      <c r="E32" s="212">
        <v>-689324</v>
      </c>
      <c r="F32" s="212">
        <v>0</v>
      </c>
      <c r="G32" s="212">
        <v>6328012</v>
      </c>
      <c r="H32" s="212">
        <v>4659843.74</v>
      </c>
      <c r="I32" s="212">
        <v>6328012</v>
      </c>
      <c r="J32" s="212">
        <f t="shared" si="8"/>
        <v>0</v>
      </c>
      <c r="K32" s="213">
        <f t="shared" si="1"/>
        <v>0</v>
      </c>
      <c r="M32" s="188"/>
    </row>
    <row r="33" spans="1:14" s="15" customFormat="1">
      <c r="A33" s="230" t="s">
        <v>143</v>
      </c>
      <c r="B33" s="229" t="s">
        <v>142</v>
      </c>
      <c r="C33" s="212">
        <v>358258</v>
      </c>
      <c r="D33" s="212">
        <f t="shared" si="7"/>
        <v>0</v>
      </c>
      <c r="E33" s="212">
        <v>0</v>
      </c>
      <c r="F33" s="212">
        <v>0</v>
      </c>
      <c r="G33" s="212">
        <v>358258</v>
      </c>
      <c r="H33" s="212">
        <v>0</v>
      </c>
      <c r="I33" s="212">
        <v>0</v>
      </c>
      <c r="J33" s="212">
        <f t="shared" si="8"/>
        <v>358258</v>
      </c>
      <c r="K33" s="213">
        <f t="shared" si="1"/>
        <v>0</v>
      </c>
      <c r="M33" s="188"/>
    </row>
    <row r="34" spans="1:14" s="15" customFormat="1">
      <c r="A34" s="225" t="s">
        <v>82</v>
      </c>
      <c r="B34" s="229" t="s">
        <v>83</v>
      </c>
      <c r="C34" s="212">
        <v>78833546</v>
      </c>
      <c r="D34" s="212">
        <f t="shared" si="7"/>
        <v>7215967</v>
      </c>
      <c r="E34" s="212">
        <v>9527903</v>
      </c>
      <c r="F34" s="212">
        <v>-2311936</v>
      </c>
      <c r="G34" s="212">
        <v>86049513</v>
      </c>
      <c r="H34" s="212">
        <v>56300844.719999969</v>
      </c>
      <c r="I34" s="212">
        <v>86049513</v>
      </c>
      <c r="J34" s="212">
        <f t="shared" si="8"/>
        <v>0</v>
      </c>
      <c r="K34" s="213">
        <f t="shared" si="1"/>
        <v>0</v>
      </c>
      <c r="M34" s="188"/>
    </row>
    <row r="35" spans="1:14" s="15" customFormat="1">
      <c r="A35" s="225" t="s">
        <v>84</v>
      </c>
      <c r="B35" s="226" t="s">
        <v>85</v>
      </c>
      <c r="C35" s="212">
        <v>102857176</v>
      </c>
      <c r="D35" s="212">
        <f t="shared" si="7"/>
        <v>-9268739</v>
      </c>
      <c r="E35" s="212">
        <v>-9268739</v>
      </c>
      <c r="F35" s="212">
        <v>0</v>
      </c>
      <c r="G35" s="212">
        <v>93588437</v>
      </c>
      <c r="H35" s="212">
        <v>60238387.739999972</v>
      </c>
      <c r="I35" s="212">
        <v>93588437</v>
      </c>
      <c r="J35" s="212">
        <f t="shared" si="8"/>
        <v>0</v>
      </c>
      <c r="K35" s="213">
        <f t="shared" si="1"/>
        <v>0</v>
      </c>
      <c r="M35" s="188"/>
    </row>
    <row r="36" spans="1:14" s="15" customFormat="1">
      <c r="A36" s="225" t="s">
        <v>154</v>
      </c>
      <c r="B36" s="226" t="s">
        <v>155</v>
      </c>
      <c r="C36" s="212">
        <v>11792089</v>
      </c>
      <c r="D36" s="212">
        <f t="shared" si="7"/>
        <v>2177277</v>
      </c>
      <c r="E36" s="212">
        <v>2496254</v>
      </c>
      <c r="F36" s="212">
        <v>-318977</v>
      </c>
      <c r="G36" s="212">
        <v>13969366</v>
      </c>
      <c r="H36" s="212">
        <v>4698507.8500000024</v>
      </c>
      <c r="I36" s="212">
        <v>13969366</v>
      </c>
      <c r="J36" s="212">
        <f t="shared" si="8"/>
        <v>0</v>
      </c>
      <c r="K36" s="213">
        <f t="shared" si="1"/>
        <v>0</v>
      </c>
      <c r="M36" s="188"/>
    </row>
    <row r="37" spans="1:14" s="15" customFormat="1">
      <c r="A37" s="225" t="s">
        <v>86</v>
      </c>
      <c r="B37" s="227" t="s">
        <v>87</v>
      </c>
      <c r="C37" s="212">
        <v>9997482</v>
      </c>
      <c r="D37" s="212">
        <f t="shared" si="7"/>
        <v>2774086</v>
      </c>
      <c r="E37" s="212">
        <v>3191174</v>
      </c>
      <c r="F37" s="212">
        <v>-417088</v>
      </c>
      <c r="G37" s="212">
        <v>12771568</v>
      </c>
      <c r="H37" s="212">
        <v>8166169.3299999423</v>
      </c>
      <c r="I37" s="212">
        <v>12771568</v>
      </c>
      <c r="J37" s="212">
        <f t="shared" si="8"/>
        <v>0</v>
      </c>
      <c r="K37" s="213">
        <f t="shared" si="1"/>
        <v>0</v>
      </c>
      <c r="M37" s="188"/>
    </row>
    <row r="38" spans="1:14" s="15" customFormat="1">
      <c r="A38" s="225" t="s">
        <v>88</v>
      </c>
      <c r="B38" s="227" t="s">
        <v>89</v>
      </c>
      <c r="C38" s="212">
        <v>119472475</v>
      </c>
      <c r="D38" s="212">
        <f t="shared" si="7"/>
        <v>-1476122</v>
      </c>
      <c r="E38" s="212">
        <v>-1476122</v>
      </c>
      <c r="F38" s="212">
        <v>0</v>
      </c>
      <c r="G38" s="212">
        <v>117996353</v>
      </c>
      <c r="H38" s="212">
        <v>87979400.469999999</v>
      </c>
      <c r="I38" s="212">
        <v>117996353</v>
      </c>
      <c r="J38" s="212">
        <f t="shared" si="8"/>
        <v>0</v>
      </c>
      <c r="K38" s="213">
        <f t="shared" si="1"/>
        <v>0</v>
      </c>
      <c r="M38" s="188"/>
    </row>
    <row r="39" spans="1:14" s="15" customFormat="1">
      <c r="A39" s="225" t="s">
        <v>156</v>
      </c>
      <c r="B39" s="226" t="s">
        <v>157</v>
      </c>
      <c r="C39" s="212">
        <v>35286</v>
      </c>
      <c r="D39" s="212">
        <f t="shared" si="7"/>
        <v>-13096</v>
      </c>
      <c r="E39" s="212">
        <v>667</v>
      </c>
      <c r="F39" s="212">
        <v>-13763</v>
      </c>
      <c r="G39" s="212">
        <v>22190</v>
      </c>
      <c r="H39" s="212">
        <v>18856.079999999994</v>
      </c>
      <c r="I39" s="212">
        <v>22190</v>
      </c>
      <c r="J39" s="212">
        <f t="shared" si="8"/>
        <v>0</v>
      </c>
      <c r="K39" s="213">
        <f t="shared" si="1"/>
        <v>0</v>
      </c>
      <c r="M39" s="188"/>
    </row>
    <row r="40" spans="1:14" s="15" customFormat="1">
      <c r="A40" s="225" t="s">
        <v>90</v>
      </c>
      <c r="B40" s="227" t="s">
        <v>91</v>
      </c>
      <c r="C40" s="212">
        <v>32201755</v>
      </c>
      <c r="D40" s="212">
        <f t="shared" si="7"/>
        <v>0</v>
      </c>
      <c r="E40" s="212">
        <v>0</v>
      </c>
      <c r="F40" s="212">
        <v>0</v>
      </c>
      <c r="G40" s="212">
        <v>32201755</v>
      </c>
      <c r="H40" s="212">
        <v>20103925.42999997</v>
      </c>
      <c r="I40" s="212">
        <v>32201755</v>
      </c>
      <c r="J40" s="212">
        <f t="shared" si="8"/>
        <v>0</v>
      </c>
      <c r="K40" s="213">
        <f t="shared" si="1"/>
        <v>0</v>
      </c>
      <c r="M40" s="188"/>
    </row>
    <row r="41" spans="1:14" s="15" customFormat="1">
      <c r="A41" s="225" t="s">
        <v>92</v>
      </c>
      <c r="B41" s="232" t="s">
        <v>93</v>
      </c>
      <c r="C41" s="212">
        <v>2037781</v>
      </c>
      <c r="D41" s="212">
        <f t="shared" si="7"/>
        <v>-224692</v>
      </c>
      <c r="E41" s="212">
        <v>-224692</v>
      </c>
      <c r="F41" s="212">
        <v>0</v>
      </c>
      <c r="G41" s="212">
        <v>1813089</v>
      </c>
      <c r="H41" s="212">
        <v>999700.53999999957</v>
      </c>
      <c r="I41" s="212">
        <v>2030252</v>
      </c>
      <c r="J41" s="212">
        <f t="shared" si="8"/>
        <v>-217163</v>
      </c>
      <c r="K41" s="213">
        <f t="shared" si="1"/>
        <v>0</v>
      </c>
      <c r="M41" s="188"/>
    </row>
    <row r="42" spans="1:14" s="15" customFormat="1">
      <c r="A42" s="225" t="s">
        <v>94</v>
      </c>
      <c r="B42" s="226" t="s">
        <v>95</v>
      </c>
      <c r="C42" s="212">
        <v>6036551</v>
      </c>
      <c r="D42" s="212">
        <f t="shared" si="7"/>
        <v>3343003</v>
      </c>
      <c r="E42" s="212">
        <v>3499492</v>
      </c>
      <c r="F42" s="212">
        <v>-156489</v>
      </c>
      <c r="G42" s="212">
        <v>9379554</v>
      </c>
      <c r="H42" s="212">
        <v>4450203.979999979</v>
      </c>
      <c r="I42" s="212">
        <v>9455352</v>
      </c>
      <c r="J42" s="212">
        <f t="shared" si="8"/>
        <v>-75798</v>
      </c>
      <c r="K42" s="213">
        <f t="shared" si="1"/>
        <v>0</v>
      </c>
      <c r="M42" s="188"/>
    </row>
    <row r="43" spans="1:14" s="15" customFormat="1">
      <c r="A43" s="225" t="s">
        <v>163</v>
      </c>
      <c r="B43" s="226" t="s">
        <v>164</v>
      </c>
      <c r="C43" s="212">
        <v>0</v>
      </c>
      <c r="D43" s="212">
        <f t="shared" si="7"/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f t="shared" si="8"/>
        <v>0</v>
      </c>
      <c r="K43" s="213">
        <f t="shared" si="1"/>
        <v>0</v>
      </c>
      <c r="M43" s="188"/>
    </row>
    <row r="44" spans="1:14" s="15" customFormat="1">
      <c r="A44" s="225" t="s">
        <v>165</v>
      </c>
      <c r="B44" s="226" t="s">
        <v>166</v>
      </c>
      <c r="C44" s="212">
        <v>0</v>
      </c>
      <c r="D44" s="212">
        <f t="shared" si="7"/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f t="shared" si="8"/>
        <v>0</v>
      </c>
      <c r="K44" s="213">
        <f t="shared" si="1"/>
        <v>0</v>
      </c>
      <c r="M44" s="188"/>
    </row>
    <row r="45" spans="1:14" s="15" customFormat="1">
      <c r="A45" s="225" t="s">
        <v>133</v>
      </c>
      <c r="B45" s="231" t="s">
        <v>147</v>
      </c>
      <c r="C45" s="212">
        <v>11604895</v>
      </c>
      <c r="D45" s="212">
        <f t="shared" si="7"/>
        <v>2189438</v>
      </c>
      <c r="E45" s="212">
        <v>2516840</v>
      </c>
      <c r="F45" s="212">
        <v>-327402</v>
      </c>
      <c r="G45" s="212">
        <v>13794333</v>
      </c>
      <c r="H45" s="212">
        <v>8894313.4899999518</v>
      </c>
      <c r="I45" s="212">
        <v>13794333</v>
      </c>
      <c r="J45" s="212">
        <f t="shared" si="8"/>
        <v>0</v>
      </c>
      <c r="K45" s="213">
        <f t="shared" si="1"/>
        <v>0</v>
      </c>
      <c r="M45" s="188"/>
      <c r="N45" s="16"/>
    </row>
    <row r="46" spans="1:14" s="15" customFormat="1">
      <c r="A46" s="225" t="s">
        <v>228</v>
      </c>
      <c r="B46" s="231" t="s">
        <v>226</v>
      </c>
      <c r="C46" s="212">
        <v>0</v>
      </c>
      <c r="D46" s="212">
        <f t="shared" si="7"/>
        <v>18709832</v>
      </c>
      <c r="E46" s="212">
        <v>18709832</v>
      </c>
      <c r="F46" s="212">
        <v>0</v>
      </c>
      <c r="G46" s="212">
        <v>18709832</v>
      </c>
      <c r="H46" s="212">
        <v>3899288.8799999994</v>
      </c>
      <c r="I46" s="212">
        <v>18655103</v>
      </c>
      <c r="J46" s="212">
        <f t="shared" si="8"/>
        <v>54729</v>
      </c>
      <c r="K46" s="213">
        <f t="shared" si="1"/>
        <v>0</v>
      </c>
      <c r="M46" s="188"/>
      <c r="N46" s="16"/>
    </row>
    <row r="47" spans="1:14" s="15" customFormat="1">
      <c r="A47" s="225" t="s">
        <v>229</v>
      </c>
      <c r="B47" s="231" t="s">
        <v>227</v>
      </c>
      <c r="C47" s="212">
        <v>0</v>
      </c>
      <c r="D47" s="212">
        <f t="shared" si="7"/>
        <v>0</v>
      </c>
      <c r="E47" s="212">
        <v>0</v>
      </c>
      <c r="F47" s="212">
        <v>0</v>
      </c>
      <c r="G47" s="212">
        <v>0</v>
      </c>
      <c r="H47" s="212">
        <v>3204837.47</v>
      </c>
      <c r="I47" s="212">
        <v>0</v>
      </c>
      <c r="J47" s="212">
        <f t="shared" si="8"/>
        <v>0</v>
      </c>
      <c r="K47" s="213">
        <f t="shared" si="1"/>
        <v>0</v>
      </c>
      <c r="M47" s="188"/>
      <c r="N47" s="16"/>
    </row>
    <row r="48" spans="1:14" s="15" customFormat="1" ht="16.2">
      <c r="A48" s="215" t="s">
        <v>96</v>
      </c>
      <c r="B48" s="223"/>
      <c r="C48" s="233">
        <f t="shared" ref="C48:I48" si="9">SUM(C21:C47)</f>
        <v>798748603</v>
      </c>
      <c r="D48" s="217">
        <f t="shared" si="9"/>
        <v>100099165</v>
      </c>
      <c r="E48" s="217">
        <v>103404574</v>
      </c>
      <c r="F48" s="217">
        <f t="shared" si="9"/>
        <v>-3305409</v>
      </c>
      <c r="G48" s="217">
        <f t="shared" si="9"/>
        <v>898847768</v>
      </c>
      <c r="H48" s="217">
        <f t="shared" si="9"/>
        <v>524920288.02999926</v>
      </c>
      <c r="I48" s="217">
        <f t="shared" si="9"/>
        <v>892951881</v>
      </c>
      <c r="J48" s="217">
        <f>SUM(J21:J47)</f>
        <v>5895887</v>
      </c>
      <c r="K48" s="213">
        <f t="shared" si="1"/>
        <v>0</v>
      </c>
      <c r="M48" s="188"/>
      <c r="N48" s="16"/>
    </row>
    <row r="49" spans="1:14" s="15" customFormat="1" ht="16.2">
      <c r="A49" s="218"/>
      <c r="B49" s="224"/>
      <c r="C49" s="220"/>
      <c r="D49" s="220"/>
      <c r="E49" s="220"/>
      <c r="F49" s="220"/>
      <c r="G49" s="220"/>
      <c r="H49" s="220"/>
      <c r="I49" s="220"/>
      <c r="J49" s="220"/>
      <c r="K49" s="213">
        <f t="shared" si="1"/>
        <v>0</v>
      </c>
      <c r="M49" s="188"/>
      <c r="N49" s="16"/>
    </row>
    <row r="50" spans="1:14" s="15" customFormat="1">
      <c r="A50" s="234" t="s">
        <v>97</v>
      </c>
      <c r="B50" s="226" t="s">
        <v>98</v>
      </c>
      <c r="C50" s="212">
        <v>6956153</v>
      </c>
      <c r="D50" s="212">
        <f t="shared" ref="D50:D53" si="10">E50+F50</f>
        <v>413115</v>
      </c>
      <c r="E50" s="212">
        <v>335104</v>
      </c>
      <c r="F50" s="212">
        <v>78011</v>
      </c>
      <c r="G50" s="212">
        <v>7369268</v>
      </c>
      <c r="H50" s="212">
        <v>5499999.5200000042</v>
      </c>
      <c r="I50" s="212">
        <v>7312152</v>
      </c>
      <c r="J50" s="212">
        <f>G50-I50</f>
        <v>57116</v>
      </c>
      <c r="K50" s="213">
        <f t="shared" si="1"/>
        <v>0</v>
      </c>
      <c r="M50" s="188"/>
      <c r="N50" s="16"/>
    </row>
    <row r="51" spans="1:14" s="15" customFormat="1">
      <c r="A51" s="234" t="s">
        <v>99</v>
      </c>
      <c r="B51" s="226" t="s">
        <v>100</v>
      </c>
      <c r="C51" s="212">
        <v>1798542</v>
      </c>
      <c r="D51" s="212">
        <f t="shared" si="10"/>
        <v>-1569530</v>
      </c>
      <c r="E51" s="212">
        <v>-1569530</v>
      </c>
      <c r="F51" s="212">
        <v>0</v>
      </c>
      <c r="G51" s="212">
        <v>229012</v>
      </c>
      <c r="H51" s="212">
        <v>119406.14999999991</v>
      </c>
      <c r="I51" s="212">
        <v>139673</v>
      </c>
      <c r="J51" s="212">
        <f>G51-I51</f>
        <v>89339</v>
      </c>
      <c r="K51" s="213">
        <f t="shared" si="1"/>
        <v>0</v>
      </c>
      <c r="M51" s="188"/>
      <c r="N51" s="16"/>
    </row>
    <row r="52" spans="1:14" s="15" customFormat="1">
      <c r="A52" s="234" t="s">
        <v>101</v>
      </c>
      <c r="B52" s="227" t="s">
        <v>102</v>
      </c>
      <c r="C52" s="212">
        <v>982500</v>
      </c>
      <c r="D52" s="212">
        <f t="shared" si="10"/>
        <v>0</v>
      </c>
      <c r="E52" s="212">
        <v>0</v>
      </c>
      <c r="F52" s="212">
        <v>0</v>
      </c>
      <c r="G52" s="212">
        <v>982500</v>
      </c>
      <c r="H52" s="212">
        <v>0</v>
      </c>
      <c r="I52" s="212">
        <v>982500</v>
      </c>
      <c r="J52" s="212">
        <f>G52-I52</f>
        <v>0</v>
      </c>
      <c r="K52" s="213">
        <f t="shared" si="1"/>
        <v>0</v>
      </c>
      <c r="M52" s="188"/>
      <c r="N52" s="16"/>
    </row>
    <row r="53" spans="1:14" s="15" customFormat="1">
      <c r="A53" s="234" t="s">
        <v>184</v>
      </c>
      <c r="B53" s="226" t="s">
        <v>183</v>
      </c>
      <c r="C53" s="212">
        <v>8792</v>
      </c>
      <c r="D53" s="212">
        <f t="shared" si="10"/>
        <v>0</v>
      </c>
      <c r="E53" s="212">
        <v>0</v>
      </c>
      <c r="F53" s="212">
        <v>0</v>
      </c>
      <c r="G53" s="212">
        <v>8792</v>
      </c>
      <c r="H53" s="212">
        <v>1757.34</v>
      </c>
      <c r="I53" s="212">
        <v>7030</v>
      </c>
      <c r="J53" s="212">
        <f>G53-I53</f>
        <v>1762</v>
      </c>
      <c r="K53" s="213">
        <f t="shared" si="1"/>
        <v>0</v>
      </c>
      <c r="M53" s="188"/>
      <c r="N53" s="16"/>
    </row>
    <row r="54" spans="1:14" s="15" customFormat="1">
      <c r="A54" s="215" t="s">
        <v>250</v>
      </c>
      <c r="B54" s="235"/>
      <c r="C54" s="217">
        <f t="shared" ref="C54:J54" si="11">SUM(C50:C53)</f>
        <v>9745987</v>
      </c>
      <c r="D54" s="217">
        <f t="shared" si="11"/>
        <v>-1156415</v>
      </c>
      <c r="E54" s="217">
        <v>-1234426</v>
      </c>
      <c r="F54" s="217">
        <f t="shared" si="11"/>
        <v>78011</v>
      </c>
      <c r="G54" s="217">
        <f t="shared" ref="G54" si="12">SUM(G50:G53)</f>
        <v>8589572</v>
      </c>
      <c r="H54" s="217">
        <f t="shared" si="11"/>
        <v>5621163.0100000035</v>
      </c>
      <c r="I54" s="217">
        <f t="shared" si="11"/>
        <v>8441355</v>
      </c>
      <c r="J54" s="217">
        <f t="shared" si="11"/>
        <v>148217</v>
      </c>
      <c r="K54" s="213">
        <f t="shared" si="1"/>
        <v>0</v>
      </c>
      <c r="M54" s="188"/>
      <c r="N54" s="16"/>
    </row>
    <row r="55" spans="1:14" s="15" customFormat="1">
      <c r="A55" s="236"/>
      <c r="B55" s="237"/>
      <c r="C55" s="220"/>
      <c r="D55" s="220"/>
      <c r="E55" s="220"/>
      <c r="F55" s="220"/>
      <c r="G55" s="220"/>
      <c r="H55" s="220"/>
      <c r="I55" s="220"/>
      <c r="J55" s="220"/>
      <c r="K55" s="213">
        <f t="shared" si="1"/>
        <v>0</v>
      </c>
      <c r="M55" s="188"/>
      <c r="N55" s="16"/>
    </row>
    <row r="56" spans="1:14" s="15" customFormat="1" ht="16.2" thickBot="1">
      <c r="A56" s="238" t="s">
        <v>103</v>
      </c>
      <c r="B56" s="239"/>
      <c r="C56" s="240">
        <f>SUM(C54,C48,C19)</f>
        <v>1740549443</v>
      </c>
      <c r="D56" s="241">
        <f>SUM(D54,D48,D19)</f>
        <v>185147480</v>
      </c>
      <c r="E56" s="241">
        <v>188374878</v>
      </c>
      <c r="F56" s="241">
        <f>SUM(F54,F48,F19)</f>
        <v>-3227398</v>
      </c>
      <c r="G56" s="241">
        <f>SUM(G54,G48,G19)</f>
        <v>1925696923</v>
      </c>
      <c r="H56" s="241">
        <f>SUM(H54,H48,H19)</f>
        <v>1252975583.7699666</v>
      </c>
      <c r="I56" s="241">
        <f>SUM(I54,I48,I19)</f>
        <v>1947107525</v>
      </c>
      <c r="J56" s="241">
        <f>SUM(J54,J48,J19)</f>
        <v>-21410602</v>
      </c>
      <c r="K56" s="213">
        <f t="shared" si="1"/>
        <v>0</v>
      </c>
      <c r="M56" s="188"/>
      <c r="N56" s="16"/>
    </row>
    <row r="57" spans="1:14" s="15" customFormat="1" ht="14.4" thickTop="1">
      <c r="B57" s="41"/>
      <c r="C57" s="42"/>
      <c r="D57" s="17"/>
      <c r="E57" s="17"/>
      <c r="F57" s="17"/>
      <c r="G57" s="17"/>
      <c r="H57" s="17"/>
      <c r="I57" s="17"/>
      <c r="J57" s="17"/>
      <c r="M57" s="187"/>
    </row>
    <row r="58" spans="1:14" s="15" customFormat="1" ht="13.8">
      <c r="B58" s="43"/>
      <c r="C58" s="42"/>
      <c r="D58" s="17"/>
      <c r="E58" s="17"/>
      <c r="F58" s="17"/>
      <c r="G58" s="17"/>
      <c r="H58" s="17"/>
      <c r="I58" s="17"/>
      <c r="J58" s="17"/>
      <c r="M58" s="187"/>
    </row>
    <row r="59" spans="1:14" s="15" customFormat="1" ht="13.8">
      <c r="B59" s="43"/>
      <c r="C59" s="42"/>
      <c r="D59" s="17"/>
      <c r="E59" s="17"/>
      <c r="F59" s="17"/>
      <c r="G59" s="17"/>
      <c r="H59" s="17"/>
      <c r="I59" s="17"/>
      <c r="J59" s="17"/>
      <c r="M59" s="187"/>
    </row>
    <row r="60" spans="1:14" s="15" customFormat="1" ht="13.8">
      <c r="B60" s="43"/>
      <c r="C60" s="42"/>
      <c r="D60" s="17"/>
      <c r="E60" s="17"/>
      <c r="F60" s="17"/>
      <c r="G60" s="17"/>
      <c r="H60" s="17"/>
      <c r="I60" s="17"/>
      <c r="J60" s="17"/>
      <c r="M60" s="187"/>
    </row>
    <row r="61" spans="1:14" s="15" customFormat="1" ht="13.8">
      <c r="B61" s="43"/>
      <c r="C61" s="42"/>
      <c r="D61" s="17"/>
      <c r="E61" s="17"/>
      <c r="F61" s="17"/>
      <c r="G61" s="17"/>
      <c r="H61" s="17"/>
      <c r="I61" s="17"/>
      <c r="J61" s="17"/>
      <c r="M61" s="187"/>
    </row>
    <row r="62" spans="1:14" s="15" customFormat="1" ht="13.8">
      <c r="B62" s="43"/>
      <c r="C62" s="42"/>
      <c r="D62" s="17"/>
      <c r="E62" s="17"/>
      <c r="F62" s="17"/>
      <c r="G62" s="17"/>
      <c r="H62" s="17"/>
      <c r="I62" s="17"/>
      <c r="J62" s="17"/>
      <c r="M62" s="187"/>
    </row>
    <row r="63" spans="1:14" s="15" customFormat="1" ht="13.8">
      <c r="B63" s="43"/>
      <c r="C63" s="42"/>
      <c r="D63" s="17"/>
      <c r="E63" s="17"/>
      <c r="F63" s="17"/>
      <c r="G63" s="17"/>
      <c r="H63" s="17"/>
      <c r="I63" s="17"/>
      <c r="J63" s="17"/>
      <c r="M63" s="187"/>
    </row>
    <row r="64" spans="1:14" s="15" customFormat="1" ht="13.8">
      <c r="B64" s="43"/>
      <c r="C64" s="42"/>
      <c r="D64" s="17"/>
      <c r="E64" s="17"/>
      <c r="F64" s="17"/>
      <c r="G64" s="17"/>
      <c r="H64" s="17"/>
      <c r="I64" s="17"/>
      <c r="J64" s="17"/>
      <c r="M64" s="187"/>
    </row>
    <row r="65" spans="2:13" s="15" customFormat="1" ht="13.8">
      <c r="B65" s="43"/>
      <c r="C65" s="42"/>
      <c r="D65" s="17"/>
      <c r="E65" s="17"/>
      <c r="F65" s="17"/>
      <c r="G65" s="17"/>
      <c r="H65" s="17"/>
      <c r="I65" s="17"/>
      <c r="J65" s="17"/>
      <c r="M65" s="187"/>
    </row>
    <row r="66" spans="2:13" s="15" customFormat="1" ht="13.8">
      <c r="B66" s="43"/>
      <c r="C66" s="42"/>
      <c r="D66" s="17"/>
      <c r="E66" s="17"/>
      <c r="F66" s="17"/>
      <c r="G66" s="17"/>
      <c r="H66" s="17"/>
      <c r="I66" s="17"/>
      <c r="J66" s="17"/>
      <c r="M66" s="187"/>
    </row>
    <row r="67" spans="2:13" s="15" customFormat="1" ht="13.8">
      <c r="B67" s="43"/>
      <c r="C67" s="42"/>
      <c r="D67" s="17"/>
      <c r="E67" s="17"/>
      <c r="F67" s="17"/>
      <c r="G67" s="17"/>
      <c r="H67" s="17"/>
      <c r="I67" s="17"/>
      <c r="J67" s="17"/>
      <c r="M67" s="187"/>
    </row>
    <row r="68" spans="2:13" s="15" customFormat="1" ht="13.8">
      <c r="B68" s="43"/>
      <c r="C68" s="42"/>
      <c r="D68" s="17"/>
      <c r="E68" s="17"/>
      <c r="F68" s="17"/>
      <c r="G68" s="17"/>
      <c r="H68" s="17"/>
      <c r="I68" s="17"/>
      <c r="J68" s="17"/>
      <c r="M68" s="187"/>
    </row>
    <row r="69" spans="2:13" s="15" customFormat="1" ht="13.8">
      <c r="B69" s="43"/>
      <c r="C69" s="42"/>
      <c r="D69" s="17"/>
      <c r="E69" s="17"/>
      <c r="F69" s="17"/>
      <c r="G69" s="17"/>
      <c r="H69" s="17"/>
      <c r="I69" s="17"/>
      <c r="J69" s="17"/>
      <c r="M69" s="187"/>
    </row>
    <row r="70" spans="2:13" s="15" customFormat="1" ht="13.8">
      <c r="B70" s="43"/>
      <c r="C70" s="42"/>
      <c r="D70" s="17"/>
      <c r="E70" s="17"/>
      <c r="F70" s="17"/>
      <c r="G70" s="17"/>
      <c r="H70" s="17"/>
      <c r="I70" s="17"/>
      <c r="J70" s="17"/>
      <c r="M70" s="187"/>
    </row>
    <row r="71" spans="2:13" s="15" customFormat="1" ht="13.8">
      <c r="B71" s="43"/>
      <c r="C71" s="42"/>
      <c r="D71" s="17"/>
      <c r="E71" s="17"/>
      <c r="F71" s="17"/>
      <c r="G71" s="17"/>
      <c r="H71" s="17"/>
      <c r="I71" s="17"/>
      <c r="J71" s="17"/>
      <c r="M71" s="187"/>
    </row>
    <row r="72" spans="2:13" s="15" customFormat="1" ht="13.8">
      <c r="B72" s="43"/>
      <c r="C72" s="42"/>
      <c r="D72" s="17"/>
      <c r="E72" s="17"/>
      <c r="F72" s="17"/>
      <c r="G72" s="17"/>
      <c r="H72" s="17"/>
      <c r="I72" s="17"/>
      <c r="J72" s="17"/>
      <c r="M72" s="187"/>
    </row>
    <row r="73" spans="2:13" s="15" customFormat="1" ht="13.8">
      <c r="B73" s="43"/>
      <c r="C73" s="42"/>
      <c r="D73" s="17"/>
      <c r="E73" s="17"/>
      <c r="F73" s="17"/>
      <c r="G73" s="17"/>
      <c r="H73" s="17"/>
      <c r="I73" s="17"/>
      <c r="J73" s="17"/>
      <c r="M73" s="187"/>
    </row>
    <row r="74" spans="2:13" s="15" customFormat="1" ht="13.8">
      <c r="B74" s="43"/>
      <c r="C74" s="42"/>
      <c r="D74" s="17"/>
      <c r="E74" s="17"/>
      <c r="F74" s="17"/>
      <c r="G74" s="17"/>
      <c r="H74" s="17"/>
      <c r="I74" s="17"/>
      <c r="J74" s="17"/>
      <c r="M74" s="187"/>
    </row>
    <row r="75" spans="2:13" s="15" customFormat="1" ht="13.8">
      <c r="B75" s="43"/>
      <c r="C75" s="42"/>
      <c r="D75" s="17"/>
      <c r="E75" s="17"/>
      <c r="F75" s="17"/>
      <c r="G75" s="17"/>
      <c r="H75" s="17"/>
      <c r="I75" s="17"/>
      <c r="J75" s="17"/>
      <c r="M75" s="187"/>
    </row>
    <row r="76" spans="2:13" s="15" customFormat="1" ht="13.8">
      <c r="B76" s="43"/>
      <c r="C76" s="42"/>
      <c r="D76" s="17"/>
      <c r="E76" s="17"/>
      <c r="F76" s="17"/>
      <c r="G76" s="17"/>
      <c r="H76" s="17"/>
      <c r="I76" s="17"/>
      <c r="J76" s="17"/>
      <c r="M76" s="187"/>
    </row>
    <row r="77" spans="2:13" s="15" customFormat="1" ht="13.8">
      <c r="B77" s="43"/>
      <c r="C77" s="42"/>
      <c r="D77" s="17"/>
      <c r="E77" s="17"/>
      <c r="F77" s="17"/>
      <c r="G77" s="17"/>
      <c r="H77" s="17"/>
      <c r="I77" s="17"/>
      <c r="J77" s="17"/>
      <c r="M77" s="187"/>
    </row>
    <row r="78" spans="2:13" s="15" customFormat="1" ht="13.8">
      <c r="B78" s="43"/>
      <c r="C78" s="42"/>
      <c r="D78" s="17"/>
      <c r="E78" s="17"/>
      <c r="F78" s="17"/>
      <c r="G78" s="17"/>
      <c r="H78" s="17"/>
      <c r="I78" s="17"/>
      <c r="J78" s="17"/>
      <c r="M78" s="187"/>
    </row>
    <row r="79" spans="2:13" s="15" customFormat="1" ht="13.8">
      <c r="B79" s="43"/>
      <c r="C79" s="42"/>
      <c r="D79" s="17"/>
      <c r="E79" s="17"/>
      <c r="F79" s="17"/>
      <c r="G79" s="17"/>
      <c r="H79" s="17"/>
      <c r="I79" s="17"/>
      <c r="J79" s="17"/>
      <c r="M79" s="187"/>
    </row>
    <row r="80" spans="2:13" s="15" customFormat="1" ht="13.8">
      <c r="B80" s="43"/>
      <c r="C80" s="42"/>
      <c r="D80" s="17"/>
      <c r="E80" s="17"/>
      <c r="F80" s="17"/>
      <c r="G80" s="17"/>
      <c r="H80" s="17"/>
      <c r="I80" s="17"/>
      <c r="J80" s="17"/>
      <c r="M80" s="187"/>
    </row>
    <row r="81" spans="2:13" s="15" customFormat="1" ht="13.8">
      <c r="B81" s="43"/>
      <c r="C81" s="42"/>
      <c r="D81" s="17"/>
      <c r="E81" s="17"/>
      <c r="F81" s="17"/>
      <c r="G81" s="17"/>
      <c r="H81" s="17"/>
      <c r="I81" s="17"/>
      <c r="J81" s="17"/>
      <c r="M81" s="187"/>
    </row>
    <row r="82" spans="2:13" s="15" customFormat="1" ht="13.8">
      <c r="B82" s="43"/>
      <c r="C82" s="42"/>
      <c r="D82" s="17"/>
      <c r="E82" s="17"/>
      <c r="F82" s="17"/>
      <c r="G82" s="17"/>
      <c r="H82" s="17"/>
      <c r="I82" s="17"/>
      <c r="J82" s="17"/>
      <c r="M82" s="187"/>
    </row>
    <row r="83" spans="2:13" s="15" customFormat="1" ht="13.8">
      <c r="B83" s="43"/>
      <c r="C83" s="42"/>
      <c r="D83" s="17"/>
      <c r="E83" s="17"/>
      <c r="F83" s="17"/>
      <c r="G83" s="17"/>
      <c r="H83" s="17"/>
      <c r="I83" s="17"/>
      <c r="J83" s="17"/>
      <c r="M83" s="187"/>
    </row>
    <row r="84" spans="2:13" s="15" customFormat="1" ht="13.8">
      <c r="B84" s="43"/>
      <c r="C84" s="42"/>
      <c r="D84" s="17"/>
      <c r="E84" s="17"/>
      <c r="F84" s="17"/>
      <c r="G84" s="17"/>
      <c r="H84" s="17"/>
      <c r="I84" s="17"/>
      <c r="J84" s="17"/>
      <c r="M84" s="187"/>
    </row>
    <row r="85" spans="2:13" s="15" customFormat="1" ht="13.8">
      <c r="B85" s="43"/>
      <c r="C85" s="42"/>
      <c r="D85" s="17"/>
      <c r="E85" s="17"/>
      <c r="F85" s="17"/>
      <c r="G85" s="17"/>
      <c r="H85" s="17"/>
      <c r="I85" s="17"/>
      <c r="J85" s="17"/>
      <c r="M85" s="187"/>
    </row>
    <row r="86" spans="2:13" s="15" customFormat="1" ht="13.8">
      <c r="B86" s="43"/>
      <c r="C86" s="42"/>
      <c r="D86" s="17"/>
      <c r="E86" s="17"/>
      <c r="F86" s="17"/>
      <c r="G86" s="17"/>
      <c r="H86" s="17"/>
      <c r="I86" s="17"/>
      <c r="J86" s="17"/>
      <c r="M86" s="187"/>
    </row>
    <row r="87" spans="2:13" s="15" customFormat="1" ht="13.8">
      <c r="B87" s="43"/>
      <c r="C87" s="42"/>
      <c r="D87" s="17"/>
      <c r="E87" s="17"/>
      <c r="F87" s="17"/>
      <c r="G87" s="17"/>
      <c r="H87" s="17"/>
      <c r="I87" s="17"/>
      <c r="J87" s="17"/>
      <c r="M87" s="187"/>
    </row>
    <row r="88" spans="2:13" s="15" customFormat="1" ht="13.8">
      <c r="B88" s="43"/>
      <c r="C88" s="42"/>
      <c r="D88" s="17"/>
      <c r="E88" s="17"/>
      <c r="F88" s="17"/>
      <c r="G88" s="17"/>
      <c r="H88" s="17"/>
      <c r="I88" s="17"/>
      <c r="J88" s="17"/>
      <c r="M88" s="187"/>
    </row>
    <row r="89" spans="2:13" s="15" customFormat="1" ht="13.8">
      <c r="B89" s="43"/>
      <c r="C89" s="42"/>
      <c r="D89" s="17"/>
      <c r="E89" s="17"/>
      <c r="F89" s="17"/>
      <c r="G89" s="17"/>
      <c r="H89" s="17"/>
      <c r="I89" s="17"/>
      <c r="J89" s="17"/>
      <c r="M89" s="187"/>
    </row>
  </sheetData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0"/>
  <sheetViews>
    <sheetView zoomScale="80" zoomScaleNormal="80" workbookViewId="0">
      <selection activeCell="N26" sqref="N26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1.33203125" style="5" bestFit="1" customWidth="1"/>
    <col min="16" max="16384" width="9.109375" style="5"/>
  </cols>
  <sheetData>
    <row r="1" spans="1:16" s="4" customFormat="1" ht="16.2">
      <c r="A1" s="242" t="s">
        <v>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s="1" customFormat="1" ht="15.6">
      <c r="A2" s="243" t="s">
        <v>261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6" s="1" customFormat="1" ht="15.6">
      <c r="A3" s="190" t="s">
        <v>423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6" ht="15.6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6" s="15" customFormat="1" ht="15.6">
      <c r="A5" s="564"/>
      <c r="B5" s="565"/>
      <c r="C5" s="245"/>
      <c r="D5" s="245"/>
      <c r="E5" s="566" t="s">
        <v>6</v>
      </c>
      <c r="F5" s="567"/>
      <c r="G5" s="567"/>
      <c r="H5" s="567"/>
      <c r="I5" s="567"/>
      <c r="J5" s="567"/>
      <c r="K5" s="567"/>
      <c r="L5" s="567"/>
      <c r="M5" s="246"/>
      <c r="N5" s="247"/>
    </row>
    <row r="6" spans="1:16" s="15" customFormat="1" ht="32.4">
      <c r="A6" s="248"/>
      <c r="B6" s="249"/>
      <c r="C6" s="250" t="s">
        <v>4</v>
      </c>
      <c r="D6" s="250" t="s">
        <v>5</v>
      </c>
      <c r="E6" s="251" t="s">
        <v>360</v>
      </c>
      <c r="F6" s="251" t="s">
        <v>361</v>
      </c>
      <c r="G6" s="252" t="s">
        <v>246</v>
      </c>
      <c r="H6" s="251" t="s">
        <v>362</v>
      </c>
      <c r="I6" s="251" t="s">
        <v>363</v>
      </c>
      <c r="J6" s="251" t="s">
        <v>247</v>
      </c>
      <c r="K6" s="252" t="s">
        <v>248</v>
      </c>
      <c r="L6" s="253" t="s">
        <v>160</v>
      </c>
      <c r="M6" s="254" t="s">
        <v>161</v>
      </c>
      <c r="N6" s="255" t="s">
        <v>162</v>
      </c>
    </row>
    <row r="7" spans="1:16" s="15" customFormat="1" ht="9" customHeight="1">
      <c r="A7" s="256"/>
      <c r="B7" s="256"/>
      <c r="C7" s="257"/>
      <c r="D7" s="257"/>
      <c r="E7" s="258"/>
      <c r="F7" s="258"/>
      <c r="G7" s="259"/>
      <c r="H7" s="258"/>
      <c r="I7" s="258"/>
      <c r="J7" s="258"/>
      <c r="K7" s="259"/>
      <c r="L7" s="259"/>
      <c r="M7" s="259"/>
      <c r="N7" s="259"/>
    </row>
    <row r="8" spans="1:16" s="71" customFormat="1" ht="18" customHeight="1">
      <c r="A8" s="160" t="s">
        <v>24</v>
      </c>
      <c r="B8" s="160" t="s">
        <v>7</v>
      </c>
      <c r="C8" s="260">
        <v>9052070</v>
      </c>
      <c r="D8" s="260">
        <v>0</v>
      </c>
      <c r="E8" s="260">
        <v>10591451</v>
      </c>
      <c r="F8" s="260">
        <v>51546</v>
      </c>
      <c r="G8" s="260">
        <v>31250</v>
      </c>
      <c r="H8" s="260">
        <v>2273531</v>
      </c>
      <c r="I8" s="260">
        <v>164013</v>
      </c>
      <c r="J8" s="260">
        <v>0</v>
      </c>
      <c r="K8" s="260">
        <v>0</v>
      </c>
      <c r="L8" s="260">
        <f>SUM(E8:K8)</f>
        <v>13111791</v>
      </c>
      <c r="M8" s="260">
        <v>0</v>
      </c>
      <c r="N8" s="260">
        <f>SUM(C8,D8,L8,M8)</f>
        <v>22163861</v>
      </c>
      <c r="P8" s="530"/>
    </row>
    <row r="9" spans="1:16" s="71" customFormat="1" ht="18" customHeight="1">
      <c r="A9" s="562" t="s">
        <v>351</v>
      </c>
      <c r="B9" s="563"/>
      <c r="C9" s="261">
        <f>C8</f>
        <v>9052070</v>
      </c>
      <c r="D9" s="261">
        <f t="shared" ref="D9:N9" si="0">D8</f>
        <v>0</v>
      </c>
      <c r="E9" s="261">
        <f t="shared" si="0"/>
        <v>10591451</v>
      </c>
      <c r="F9" s="261">
        <f t="shared" si="0"/>
        <v>51546</v>
      </c>
      <c r="G9" s="261">
        <f t="shared" si="0"/>
        <v>31250</v>
      </c>
      <c r="H9" s="261">
        <f t="shared" si="0"/>
        <v>2273531</v>
      </c>
      <c r="I9" s="261">
        <f>I8</f>
        <v>164013</v>
      </c>
      <c r="J9" s="261">
        <f t="shared" si="0"/>
        <v>0</v>
      </c>
      <c r="K9" s="261">
        <f t="shared" si="0"/>
        <v>0</v>
      </c>
      <c r="L9" s="261">
        <f t="shared" si="0"/>
        <v>13111791</v>
      </c>
      <c r="M9" s="261">
        <f t="shared" si="0"/>
        <v>0</v>
      </c>
      <c r="N9" s="261">
        <f t="shared" si="0"/>
        <v>22163861</v>
      </c>
    </row>
    <row r="10" spans="1:16" s="71" customFormat="1" ht="18" customHeight="1">
      <c r="A10" s="160" t="s">
        <v>25</v>
      </c>
      <c r="B10" s="160" t="s">
        <v>8</v>
      </c>
      <c r="C10" s="260">
        <v>385095968</v>
      </c>
      <c r="D10" s="260">
        <v>0</v>
      </c>
      <c r="E10" s="260">
        <v>165518227</v>
      </c>
      <c r="F10" s="260">
        <v>0</v>
      </c>
      <c r="G10" s="260">
        <v>68760347</v>
      </c>
      <c r="H10" s="260">
        <v>0</v>
      </c>
      <c r="I10" s="260">
        <v>6823680</v>
      </c>
      <c r="J10" s="260">
        <v>0</v>
      </c>
      <c r="K10" s="260">
        <v>36559556</v>
      </c>
      <c r="L10" s="260">
        <f t="shared" ref="L10:L21" si="1">SUM(E10:K10)</f>
        <v>277661810</v>
      </c>
      <c r="M10" s="260">
        <v>6479950</v>
      </c>
      <c r="N10" s="260">
        <f t="shared" ref="N10:N21" si="2">SUM(C10,D10,L10,M10)</f>
        <v>669237728</v>
      </c>
      <c r="P10" s="530"/>
    </row>
    <row r="11" spans="1:16" s="71" customFormat="1" ht="18" customHeight="1">
      <c r="A11" s="160" t="s">
        <v>26</v>
      </c>
      <c r="B11" s="160" t="s">
        <v>9</v>
      </c>
      <c r="C11" s="260">
        <v>16268446</v>
      </c>
      <c r="D11" s="260">
        <v>0</v>
      </c>
      <c r="E11" s="260">
        <v>13952608</v>
      </c>
      <c r="F11" s="260">
        <v>0</v>
      </c>
      <c r="G11" s="260">
        <v>9075288</v>
      </c>
      <c r="H11" s="260">
        <v>453114</v>
      </c>
      <c r="I11" s="260">
        <v>244456</v>
      </c>
      <c r="J11" s="260">
        <v>0</v>
      </c>
      <c r="K11" s="260">
        <v>6887032</v>
      </c>
      <c r="L11" s="260">
        <f t="shared" si="1"/>
        <v>30612498</v>
      </c>
      <c r="M11" s="260">
        <v>309608</v>
      </c>
      <c r="N11" s="260">
        <f t="shared" si="2"/>
        <v>47190552</v>
      </c>
      <c r="P11" s="530"/>
    </row>
    <row r="12" spans="1:16" s="71" customFormat="1" ht="18" customHeight="1">
      <c r="A12" s="160" t="s">
        <v>27</v>
      </c>
      <c r="B12" s="160" t="s">
        <v>189</v>
      </c>
      <c r="C12" s="260">
        <v>56249453</v>
      </c>
      <c r="D12" s="260">
        <v>0</v>
      </c>
      <c r="E12" s="260">
        <v>0</v>
      </c>
      <c r="F12" s="260">
        <v>10379528</v>
      </c>
      <c r="G12" s="260">
        <v>5073066</v>
      </c>
      <c r="H12" s="260">
        <v>0</v>
      </c>
      <c r="I12" s="260">
        <v>0</v>
      </c>
      <c r="J12" s="260">
        <v>0</v>
      </c>
      <c r="K12" s="260">
        <v>0</v>
      </c>
      <c r="L12" s="260">
        <f t="shared" si="1"/>
        <v>15452594</v>
      </c>
      <c r="M12" s="260">
        <v>0</v>
      </c>
      <c r="N12" s="260">
        <f t="shared" si="2"/>
        <v>71702047</v>
      </c>
      <c r="P12" s="530"/>
    </row>
    <row r="13" spans="1:16" s="71" customFormat="1" ht="18" customHeight="1">
      <c r="A13" s="160" t="s">
        <v>28</v>
      </c>
      <c r="B13" s="160" t="s">
        <v>190</v>
      </c>
      <c r="C13" s="260">
        <v>7370996</v>
      </c>
      <c r="D13" s="260">
        <v>0</v>
      </c>
      <c r="E13" s="260">
        <v>0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5224723</v>
      </c>
      <c r="L13" s="260">
        <f t="shared" si="1"/>
        <v>5224723</v>
      </c>
      <c r="M13" s="260">
        <v>0</v>
      </c>
      <c r="N13" s="260">
        <f t="shared" si="2"/>
        <v>12595719</v>
      </c>
      <c r="P13" s="530"/>
    </row>
    <row r="14" spans="1:16" s="71" customFormat="1" ht="18" customHeight="1">
      <c r="A14" s="160" t="s">
        <v>29</v>
      </c>
      <c r="B14" s="160" t="s">
        <v>191</v>
      </c>
      <c r="C14" s="260">
        <v>1799205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2515964</v>
      </c>
      <c r="L14" s="260">
        <f t="shared" si="1"/>
        <v>2515964</v>
      </c>
      <c r="M14" s="260">
        <v>0</v>
      </c>
      <c r="N14" s="260">
        <f t="shared" si="2"/>
        <v>4315169</v>
      </c>
      <c r="P14" s="530"/>
    </row>
    <row r="15" spans="1:16" s="71" customFormat="1" ht="18" customHeight="1">
      <c r="A15" s="160" t="s">
        <v>114</v>
      </c>
      <c r="B15" s="160" t="s">
        <v>11</v>
      </c>
      <c r="C15" s="260">
        <v>747738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7939736</v>
      </c>
      <c r="L15" s="260">
        <f t="shared" si="1"/>
        <v>7939736</v>
      </c>
      <c r="M15" s="260">
        <v>5000</v>
      </c>
      <c r="N15" s="260">
        <f t="shared" si="2"/>
        <v>8692474</v>
      </c>
      <c r="P15" s="530"/>
    </row>
    <row r="16" spans="1:16" s="83" customFormat="1" ht="18" customHeight="1">
      <c r="A16" s="160" t="s">
        <v>115</v>
      </c>
      <c r="B16" s="160" t="s">
        <v>192</v>
      </c>
      <c r="C16" s="260">
        <v>13476244</v>
      </c>
      <c r="D16" s="260">
        <v>0</v>
      </c>
      <c r="E16" s="260">
        <v>140233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0">
        <v>401050</v>
      </c>
      <c r="L16" s="260">
        <f t="shared" si="1"/>
        <v>541283</v>
      </c>
      <c r="M16" s="260">
        <v>0</v>
      </c>
      <c r="N16" s="260">
        <f t="shared" si="2"/>
        <v>14017527</v>
      </c>
      <c r="O16" s="71"/>
      <c r="P16" s="530"/>
    </row>
    <row r="17" spans="1:16" s="83" customFormat="1" ht="18" customHeight="1">
      <c r="A17" s="160" t="s">
        <v>116</v>
      </c>
      <c r="B17" s="160" t="s">
        <v>193</v>
      </c>
      <c r="C17" s="260">
        <v>21862194</v>
      </c>
      <c r="D17" s="260">
        <v>0</v>
      </c>
      <c r="E17" s="260">
        <v>2053865</v>
      </c>
      <c r="F17" s="260">
        <v>13990</v>
      </c>
      <c r="G17" s="260">
        <v>270947</v>
      </c>
      <c r="H17" s="260">
        <v>0</v>
      </c>
      <c r="I17" s="260">
        <v>0</v>
      </c>
      <c r="J17" s="260">
        <v>0</v>
      </c>
      <c r="K17" s="260">
        <v>17750225</v>
      </c>
      <c r="L17" s="260">
        <f>SUM(E17:K17)</f>
        <v>20089027</v>
      </c>
      <c r="M17" s="260">
        <v>0</v>
      </c>
      <c r="N17" s="260">
        <f t="shared" si="2"/>
        <v>41951221</v>
      </c>
      <c r="O17" s="71"/>
      <c r="P17" s="530"/>
    </row>
    <row r="18" spans="1:16" s="83" customFormat="1" ht="18" customHeight="1">
      <c r="A18" s="160" t="s">
        <v>117</v>
      </c>
      <c r="B18" s="160" t="s">
        <v>194</v>
      </c>
      <c r="C18" s="260">
        <v>192853787</v>
      </c>
      <c r="D18" s="260">
        <v>0</v>
      </c>
      <c r="E18" s="260">
        <v>136308591</v>
      </c>
      <c r="F18" s="260">
        <v>0</v>
      </c>
      <c r="G18" s="260">
        <v>109587526</v>
      </c>
      <c r="H18" s="260">
        <v>0</v>
      </c>
      <c r="I18" s="260">
        <v>0</v>
      </c>
      <c r="J18" s="260">
        <v>0</v>
      </c>
      <c r="K18" s="260">
        <v>0</v>
      </c>
      <c r="L18" s="260">
        <f t="shared" si="1"/>
        <v>245896117</v>
      </c>
      <c r="M18" s="260">
        <v>982500</v>
      </c>
      <c r="N18" s="260">
        <f t="shared" si="2"/>
        <v>439732404</v>
      </c>
      <c r="O18" s="71"/>
      <c r="P18" s="530"/>
    </row>
    <row r="19" spans="1:16" s="83" customFormat="1" ht="18" customHeight="1">
      <c r="A19" s="160" t="s">
        <v>118</v>
      </c>
      <c r="B19" s="160" t="s">
        <v>195</v>
      </c>
      <c r="C19" s="260">
        <v>140081816</v>
      </c>
      <c r="D19" s="260">
        <v>0</v>
      </c>
      <c r="E19" s="260">
        <v>0</v>
      </c>
      <c r="F19" s="260">
        <v>0</v>
      </c>
      <c r="G19" s="260">
        <v>127220795</v>
      </c>
      <c r="H19" s="260">
        <v>0</v>
      </c>
      <c r="I19" s="260">
        <v>0</v>
      </c>
      <c r="J19" s="260">
        <v>0</v>
      </c>
      <c r="K19" s="260">
        <v>0</v>
      </c>
      <c r="L19" s="260">
        <f t="shared" si="1"/>
        <v>127220795</v>
      </c>
      <c r="M19" s="260">
        <v>0</v>
      </c>
      <c r="N19" s="260">
        <f t="shared" si="2"/>
        <v>267302611</v>
      </c>
      <c r="O19" s="71"/>
      <c r="P19" s="530"/>
    </row>
    <row r="20" spans="1:16" s="83" customFormat="1" ht="18" customHeight="1">
      <c r="A20" s="160" t="s">
        <v>119</v>
      </c>
      <c r="B20" s="160" t="s">
        <v>196</v>
      </c>
      <c r="C20" s="260">
        <v>3508219</v>
      </c>
      <c r="D20" s="260">
        <v>0</v>
      </c>
      <c r="E20" s="260">
        <v>9196564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f t="shared" si="1"/>
        <v>9196564</v>
      </c>
      <c r="M20" s="260">
        <v>0</v>
      </c>
      <c r="N20" s="260">
        <f t="shared" si="2"/>
        <v>12704783</v>
      </c>
      <c r="O20" s="71"/>
      <c r="P20" s="530"/>
    </row>
    <row r="21" spans="1:16" s="83" customFormat="1" ht="18" customHeight="1">
      <c r="A21" s="160" t="s">
        <v>120</v>
      </c>
      <c r="B21" s="160" t="s">
        <v>218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f t="shared" si="1"/>
        <v>0</v>
      </c>
      <c r="M21" s="260">
        <v>0</v>
      </c>
      <c r="N21" s="260">
        <f t="shared" si="2"/>
        <v>0</v>
      </c>
      <c r="O21" s="71"/>
      <c r="P21" s="530"/>
    </row>
    <row r="22" spans="1:16" s="83" customFormat="1" ht="18" customHeight="1">
      <c r="A22" s="562" t="s">
        <v>352</v>
      </c>
      <c r="B22" s="563"/>
      <c r="C22" s="261">
        <f t="shared" ref="C22:N22" si="3">SUM(C10:C21)</f>
        <v>839314066</v>
      </c>
      <c r="D22" s="261">
        <f t="shared" si="3"/>
        <v>0</v>
      </c>
      <c r="E22" s="261">
        <f t="shared" si="3"/>
        <v>327170088</v>
      </c>
      <c r="F22" s="261">
        <f t="shared" si="3"/>
        <v>10393518</v>
      </c>
      <c r="G22" s="261">
        <f t="shared" si="3"/>
        <v>319987969</v>
      </c>
      <c r="H22" s="261">
        <f>SUM(H10:H21)</f>
        <v>453114</v>
      </c>
      <c r="I22" s="261">
        <f t="shared" si="3"/>
        <v>7068136</v>
      </c>
      <c r="J22" s="261">
        <f t="shared" ref="J22" si="4">SUM(J10:J21)</f>
        <v>0</v>
      </c>
      <c r="K22" s="261">
        <f t="shared" si="3"/>
        <v>77278286</v>
      </c>
      <c r="L22" s="261">
        <f t="shared" si="3"/>
        <v>742351111</v>
      </c>
      <c r="M22" s="261">
        <f t="shared" si="3"/>
        <v>7777058</v>
      </c>
      <c r="N22" s="261">
        <f t="shared" si="3"/>
        <v>1589442235</v>
      </c>
    </row>
    <row r="23" spans="1:16" s="83" customFormat="1" ht="18" customHeight="1">
      <c r="A23" s="160" t="s">
        <v>30</v>
      </c>
      <c r="B23" s="160" t="s">
        <v>14</v>
      </c>
      <c r="C23" s="260">
        <v>14404658</v>
      </c>
      <c r="D23" s="260">
        <v>5685701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911531</v>
      </c>
      <c r="L23" s="260">
        <f t="shared" ref="L23:L28" si="5">SUM(E23:K23)</f>
        <v>911531</v>
      </c>
      <c r="M23" s="260">
        <v>0</v>
      </c>
      <c r="N23" s="260">
        <f t="shared" ref="N23:N28" si="6">SUM(C23,D23,L23,M23)</f>
        <v>21001890</v>
      </c>
      <c r="O23" s="71"/>
      <c r="P23" s="530"/>
    </row>
    <row r="24" spans="1:16" s="83" customFormat="1" ht="18" customHeight="1">
      <c r="A24" s="160" t="s">
        <v>121</v>
      </c>
      <c r="B24" s="160" t="s">
        <v>15</v>
      </c>
      <c r="C24" s="260">
        <v>5112057</v>
      </c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3310501</v>
      </c>
      <c r="L24" s="260">
        <f t="shared" si="5"/>
        <v>3310501</v>
      </c>
      <c r="M24" s="260">
        <v>0</v>
      </c>
      <c r="N24" s="260">
        <f t="shared" si="6"/>
        <v>8422558</v>
      </c>
      <c r="O24" s="71"/>
      <c r="P24" s="530"/>
    </row>
    <row r="25" spans="1:16" s="83" customFormat="1" ht="18" customHeight="1">
      <c r="A25" s="160" t="s">
        <v>122</v>
      </c>
      <c r="B25" s="160" t="s">
        <v>16</v>
      </c>
      <c r="C25" s="260">
        <v>19206</v>
      </c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0">
        <v>2591039</v>
      </c>
      <c r="L25" s="260">
        <f t="shared" si="5"/>
        <v>2591039</v>
      </c>
      <c r="M25" s="260">
        <v>0</v>
      </c>
      <c r="N25" s="260">
        <f t="shared" si="6"/>
        <v>2610245</v>
      </c>
      <c r="O25" s="71"/>
      <c r="P25" s="530"/>
    </row>
    <row r="26" spans="1:16" s="83" customFormat="1" ht="18" customHeight="1">
      <c r="A26" s="160" t="s">
        <v>104</v>
      </c>
      <c r="B26" s="160" t="s">
        <v>17</v>
      </c>
      <c r="C26" s="260">
        <v>2210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4220630</v>
      </c>
      <c r="L26" s="260">
        <f t="shared" si="5"/>
        <v>4220630</v>
      </c>
      <c r="M26" s="260">
        <v>23324</v>
      </c>
      <c r="N26" s="260">
        <f t="shared" si="6"/>
        <v>4246164</v>
      </c>
      <c r="O26" s="71"/>
      <c r="P26" s="530"/>
    </row>
    <row r="27" spans="1:16" s="83" customFormat="1" ht="18" customHeight="1">
      <c r="A27" s="160" t="s">
        <v>105</v>
      </c>
      <c r="B27" s="160" t="s">
        <v>158</v>
      </c>
      <c r="C27" s="260">
        <v>34802862</v>
      </c>
      <c r="D27" s="260">
        <v>0</v>
      </c>
      <c r="E27" s="260">
        <v>5946607</v>
      </c>
      <c r="F27" s="260">
        <v>0</v>
      </c>
      <c r="G27" s="260">
        <v>0</v>
      </c>
      <c r="H27" s="260">
        <v>0</v>
      </c>
      <c r="I27" s="260">
        <v>0</v>
      </c>
      <c r="J27" s="260">
        <v>16327786</v>
      </c>
      <c r="K27" s="260">
        <v>0</v>
      </c>
      <c r="L27" s="260">
        <f t="shared" si="5"/>
        <v>22274393</v>
      </c>
      <c r="M27" s="260">
        <v>0</v>
      </c>
      <c r="N27" s="260">
        <f t="shared" si="6"/>
        <v>57077255</v>
      </c>
      <c r="O27" s="71"/>
      <c r="P27" s="530"/>
    </row>
    <row r="28" spans="1:16" s="83" customFormat="1" ht="18" customHeight="1">
      <c r="A28" s="160" t="s">
        <v>123</v>
      </c>
      <c r="B28" s="160" t="s">
        <v>159</v>
      </c>
      <c r="C28" s="260">
        <v>4855482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2327317</v>
      </c>
      <c r="K28" s="260">
        <v>464308</v>
      </c>
      <c r="L28" s="260">
        <f t="shared" si="5"/>
        <v>2791625</v>
      </c>
      <c r="M28" s="260">
        <v>0</v>
      </c>
      <c r="N28" s="260">
        <f t="shared" si="6"/>
        <v>7647107</v>
      </c>
      <c r="O28" s="71"/>
      <c r="P28" s="530"/>
    </row>
    <row r="29" spans="1:16" s="83" customFormat="1" ht="18" customHeight="1">
      <c r="A29" s="562" t="s">
        <v>353</v>
      </c>
      <c r="B29" s="563"/>
      <c r="C29" s="261">
        <f>SUM(C23:C28)</f>
        <v>59196475</v>
      </c>
      <c r="D29" s="261">
        <f t="shared" ref="D29:N29" si="7">SUM(D23:D28)</f>
        <v>5685701</v>
      </c>
      <c r="E29" s="261">
        <f t="shared" si="7"/>
        <v>5946607</v>
      </c>
      <c r="F29" s="261">
        <f t="shared" si="7"/>
        <v>0</v>
      </c>
      <c r="G29" s="261">
        <f t="shared" si="7"/>
        <v>0</v>
      </c>
      <c r="H29" s="261">
        <f t="shared" si="7"/>
        <v>0</v>
      </c>
      <c r="I29" s="261">
        <f t="shared" si="7"/>
        <v>0</v>
      </c>
      <c r="J29" s="261">
        <f t="shared" ref="J29" si="8">SUM(J23:J28)</f>
        <v>18655103</v>
      </c>
      <c r="K29" s="261">
        <f t="shared" si="7"/>
        <v>11498009</v>
      </c>
      <c r="L29" s="261">
        <f t="shared" si="7"/>
        <v>36099719</v>
      </c>
      <c r="M29" s="261">
        <f t="shared" si="7"/>
        <v>23324</v>
      </c>
      <c r="N29" s="261">
        <f t="shared" si="7"/>
        <v>101005219</v>
      </c>
    </row>
    <row r="30" spans="1:16" s="83" customFormat="1" ht="18" customHeight="1">
      <c r="A30" s="156" t="s">
        <v>106</v>
      </c>
      <c r="B30" s="146" t="s">
        <v>197</v>
      </c>
      <c r="C30" s="260">
        <v>36088888</v>
      </c>
      <c r="D30" s="260">
        <v>0</v>
      </c>
      <c r="E30" s="260">
        <v>0</v>
      </c>
      <c r="F30" s="260">
        <v>0</v>
      </c>
      <c r="G30" s="260">
        <v>0</v>
      </c>
      <c r="H30" s="260">
        <v>16693079</v>
      </c>
      <c r="I30" s="260">
        <v>4703086</v>
      </c>
      <c r="J30" s="260">
        <v>0</v>
      </c>
      <c r="K30" s="260">
        <v>0</v>
      </c>
      <c r="L30" s="260">
        <f>SUM(E30:K30)</f>
        <v>21396165</v>
      </c>
      <c r="M30" s="260">
        <v>0</v>
      </c>
      <c r="N30" s="260">
        <f>SUM(C30,D30,L30,M30)</f>
        <v>57485053</v>
      </c>
      <c r="O30" s="71"/>
      <c r="P30" s="530"/>
    </row>
    <row r="31" spans="1:16" s="83" customFormat="1" ht="18" customHeight="1">
      <c r="A31" s="156" t="s">
        <v>107</v>
      </c>
      <c r="B31" s="146" t="s">
        <v>124</v>
      </c>
      <c r="C31" s="260">
        <v>2923640</v>
      </c>
      <c r="D31" s="260">
        <v>0</v>
      </c>
      <c r="E31" s="260">
        <v>0</v>
      </c>
      <c r="F31" s="260">
        <v>0</v>
      </c>
      <c r="G31" s="260">
        <v>0</v>
      </c>
      <c r="H31" s="260">
        <v>2568530</v>
      </c>
      <c r="I31" s="260">
        <v>492524</v>
      </c>
      <c r="J31" s="260">
        <v>0</v>
      </c>
      <c r="K31" s="260">
        <v>0</v>
      </c>
      <c r="L31" s="260">
        <f>SUM(E31:K31)</f>
        <v>3061054</v>
      </c>
      <c r="M31" s="260">
        <v>25000</v>
      </c>
      <c r="N31" s="260">
        <f>SUM(C31,D31,L31,M31)</f>
        <v>6009694</v>
      </c>
      <c r="O31" s="71"/>
      <c r="P31" s="530"/>
    </row>
    <row r="32" spans="1:16" s="83" customFormat="1" ht="18" customHeight="1">
      <c r="A32" s="156" t="s">
        <v>108</v>
      </c>
      <c r="B32" s="146" t="s">
        <v>198</v>
      </c>
      <c r="C32" s="260">
        <v>2118999</v>
      </c>
      <c r="D32" s="260">
        <v>0</v>
      </c>
      <c r="E32" s="260">
        <v>0</v>
      </c>
      <c r="F32" s="260">
        <v>0</v>
      </c>
      <c r="G32" s="260">
        <v>0</v>
      </c>
      <c r="H32" s="260">
        <v>6925056</v>
      </c>
      <c r="I32" s="260">
        <v>0</v>
      </c>
      <c r="J32" s="260">
        <v>0</v>
      </c>
      <c r="K32" s="260">
        <v>0</v>
      </c>
      <c r="L32" s="260">
        <f>SUM(E32:K32)</f>
        <v>6925056</v>
      </c>
      <c r="M32" s="260">
        <v>0</v>
      </c>
      <c r="N32" s="260">
        <f>SUM(C32,D32,L32,M32)</f>
        <v>9044055</v>
      </c>
      <c r="O32" s="71"/>
      <c r="P32" s="530"/>
    </row>
    <row r="33" spans="1:16" s="84" customFormat="1" ht="18" customHeight="1">
      <c r="A33" s="562" t="s">
        <v>354</v>
      </c>
      <c r="B33" s="563"/>
      <c r="C33" s="261">
        <f t="shared" ref="C33:N33" si="9">SUM(C30:C32)</f>
        <v>41131527</v>
      </c>
      <c r="D33" s="261">
        <f t="shared" si="9"/>
        <v>0</v>
      </c>
      <c r="E33" s="261">
        <f t="shared" si="9"/>
        <v>0</v>
      </c>
      <c r="F33" s="261">
        <f t="shared" si="9"/>
        <v>0</v>
      </c>
      <c r="G33" s="261">
        <f t="shared" si="9"/>
        <v>0</v>
      </c>
      <c r="H33" s="261">
        <f t="shared" si="9"/>
        <v>26186665</v>
      </c>
      <c r="I33" s="261">
        <f t="shared" si="9"/>
        <v>5195610</v>
      </c>
      <c r="J33" s="261">
        <f t="shared" ref="J33" si="10">SUM(J30:J32)</f>
        <v>0</v>
      </c>
      <c r="K33" s="261">
        <f t="shared" si="9"/>
        <v>0</v>
      </c>
      <c r="L33" s="261">
        <f t="shared" si="9"/>
        <v>31382275</v>
      </c>
      <c r="M33" s="261">
        <f t="shared" si="9"/>
        <v>25000</v>
      </c>
      <c r="N33" s="261">
        <f t="shared" si="9"/>
        <v>72538802</v>
      </c>
    </row>
    <row r="34" spans="1:16" s="84" customFormat="1" ht="18" customHeight="1">
      <c r="A34" s="171" t="s">
        <v>109</v>
      </c>
      <c r="B34" s="171" t="s">
        <v>19</v>
      </c>
      <c r="C34" s="260">
        <v>20666845</v>
      </c>
      <c r="D34" s="260">
        <v>0</v>
      </c>
      <c r="E34" s="260">
        <v>0</v>
      </c>
      <c r="F34" s="260">
        <v>19349885</v>
      </c>
      <c r="G34" s="260">
        <v>2443357</v>
      </c>
      <c r="H34" s="260">
        <v>971645</v>
      </c>
      <c r="I34" s="260">
        <v>0</v>
      </c>
      <c r="J34" s="260">
        <v>0</v>
      </c>
      <c r="K34" s="260">
        <v>0</v>
      </c>
      <c r="L34" s="260">
        <f>SUM(E34:K34)</f>
        <v>22764887</v>
      </c>
      <c r="M34" s="260">
        <v>100555</v>
      </c>
      <c r="N34" s="260">
        <f>SUM(C34,D34,L34,M34)</f>
        <v>43532287</v>
      </c>
      <c r="O34" s="71"/>
      <c r="P34" s="530"/>
    </row>
    <row r="35" spans="1:16" s="84" customFormat="1" ht="18" customHeight="1">
      <c r="A35" s="562" t="s">
        <v>364</v>
      </c>
      <c r="B35" s="563"/>
      <c r="C35" s="261">
        <f>C34</f>
        <v>20666845</v>
      </c>
      <c r="D35" s="261">
        <f t="shared" ref="D35:N35" si="11">D34</f>
        <v>0</v>
      </c>
      <c r="E35" s="261">
        <f t="shared" si="11"/>
        <v>0</v>
      </c>
      <c r="F35" s="261">
        <f t="shared" si="11"/>
        <v>19349885</v>
      </c>
      <c r="G35" s="261">
        <f t="shared" si="11"/>
        <v>2443357</v>
      </c>
      <c r="H35" s="261">
        <f t="shared" si="11"/>
        <v>971645</v>
      </c>
      <c r="I35" s="261">
        <f t="shared" si="11"/>
        <v>0</v>
      </c>
      <c r="J35" s="261">
        <f t="shared" ref="J35" si="12">J34</f>
        <v>0</v>
      </c>
      <c r="K35" s="261">
        <f t="shared" si="11"/>
        <v>0</v>
      </c>
      <c r="L35" s="261">
        <f t="shared" si="11"/>
        <v>22764887</v>
      </c>
      <c r="M35" s="261">
        <f t="shared" si="11"/>
        <v>100555</v>
      </c>
      <c r="N35" s="261">
        <f t="shared" si="11"/>
        <v>43532287</v>
      </c>
    </row>
    <row r="36" spans="1:16" s="83" customFormat="1" ht="18" customHeight="1">
      <c r="A36" s="160" t="s">
        <v>110</v>
      </c>
      <c r="B36" s="160" t="s">
        <v>20</v>
      </c>
      <c r="C36" s="260">
        <v>9495303</v>
      </c>
      <c r="D36" s="260">
        <v>0</v>
      </c>
      <c r="E36" s="260">
        <v>5625348</v>
      </c>
      <c r="F36" s="260">
        <v>429788</v>
      </c>
      <c r="G36" s="260">
        <v>1386412</v>
      </c>
      <c r="H36" s="260">
        <v>691927</v>
      </c>
      <c r="I36" s="260">
        <v>260540</v>
      </c>
      <c r="J36" s="260">
        <v>0</v>
      </c>
      <c r="K36" s="260">
        <v>383377</v>
      </c>
      <c r="L36" s="260">
        <f t="shared" ref="L36:L39" si="13">SUM(E36:K36)</f>
        <v>8777392</v>
      </c>
      <c r="M36" s="260">
        <v>0</v>
      </c>
      <c r="N36" s="260">
        <f t="shared" ref="N36:N42" si="14">SUM(C36,D36,L36,M36)</f>
        <v>18272695</v>
      </c>
      <c r="O36" s="71"/>
      <c r="P36" s="530"/>
    </row>
    <row r="37" spans="1:16" s="83" customFormat="1" ht="18" customHeight="1">
      <c r="A37" s="160" t="s">
        <v>111</v>
      </c>
      <c r="B37" s="160" t="s">
        <v>21</v>
      </c>
      <c r="C37" s="260">
        <v>7154241</v>
      </c>
      <c r="D37" s="260">
        <v>0</v>
      </c>
      <c r="E37" s="260">
        <v>2065517</v>
      </c>
      <c r="F37" s="260">
        <v>91824</v>
      </c>
      <c r="G37" s="260">
        <v>633442</v>
      </c>
      <c r="H37" s="260">
        <v>363115</v>
      </c>
      <c r="I37" s="260">
        <v>91575</v>
      </c>
      <c r="J37" s="260">
        <v>0</v>
      </c>
      <c r="K37" s="260">
        <v>75732</v>
      </c>
      <c r="L37" s="260">
        <f t="shared" si="13"/>
        <v>3321205</v>
      </c>
      <c r="M37" s="260">
        <v>15418</v>
      </c>
      <c r="N37" s="260">
        <f t="shared" si="14"/>
        <v>10490864</v>
      </c>
      <c r="O37" s="71"/>
      <c r="P37" s="530"/>
    </row>
    <row r="38" spans="1:16" s="83" customFormat="1" ht="18" customHeight="1">
      <c r="A38" s="160" t="s">
        <v>112</v>
      </c>
      <c r="B38" s="160" t="s">
        <v>22</v>
      </c>
      <c r="C38" s="260">
        <v>112272</v>
      </c>
      <c r="D38" s="260">
        <v>0</v>
      </c>
      <c r="E38" s="260">
        <v>141213</v>
      </c>
      <c r="F38" s="260">
        <v>11513</v>
      </c>
      <c r="G38" s="260">
        <v>25432</v>
      </c>
      <c r="H38" s="260">
        <v>22910</v>
      </c>
      <c r="I38" s="260">
        <v>4736</v>
      </c>
      <c r="J38" s="260">
        <v>0</v>
      </c>
      <c r="K38" s="260">
        <v>1489</v>
      </c>
      <c r="L38" s="260">
        <f t="shared" si="13"/>
        <v>207293</v>
      </c>
      <c r="M38" s="260">
        <v>0</v>
      </c>
      <c r="N38" s="260">
        <f t="shared" si="14"/>
        <v>319565</v>
      </c>
      <c r="O38" s="71"/>
      <c r="P38" s="530"/>
    </row>
    <row r="39" spans="1:16" s="83" customFormat="1" ht="18" customHeight="1">
      <c r="A39" s="160" t="s">
        <v>113</v>
      </c>
      <c r="B39" s="160" t="s">
        <v>23</v>
      </c>
      <c r="C39" s="260">
        <v>18991988</v>
      </c>
      <c r="D39" s="260">
        <v>0</v>
      </c>
      <c r="E39" s="260">
        <v>10118988</v>
      </c>
      <c r="F39" s="260">
        <v>830092</v>
      </c>
      <c r="G39" s="260">
        <v>2675719</v>
      </c>
      <c r="H39" s="260">
        <v>1238848</v>
      </c>
      <c r="I39" s="260">
        <v>492844</v>
      </c>
      <c r="J39" s="260">
        <v>0</v>
      </c>
      <c r="K39" s="260">
        <v>627700</v>
      </c>
      <c r="L39" s="260">
        <f t="shared" si="13"/>
        <v>15984191</v>
      </c>
      <c r="M39" s="260">
        <v>500000</v>
      </c>
      <c r="N39" s="260">
        <f t="shared" si="14"/>
        <v>35476179</v>
      </c>
      <c r="O39" s="71"/>
      <c r="P39" s="530"/>
    </row>
    <row r="40" spans="1:16" s="84" customFormat="1" ht="18" customHeight="1">
      <c r="A40" s="562" t="s">
        <v>356</v>
      </c>
      <c r="B40" s="563"/>
      <c r="C40" s="261">
        <f t="shared" ref="C40:N40" si="15">SUM(C36:C39)</f>
        <v>35753804</v>
      </c>
      <c r="D40" s="261">
        <f t="shared" si="15"/>
        <v>0</v>
      </c>
      <c r="E40" s="261">
        <f t="shared" si="15"/>
        <v>17951066</v>
      </c>
      <c r="F40" s="261">
        <f t="shared" si="15"/>
        <v>1363217</v>
      </c>
      <c r="G40" s="261">
        <f t="shared" si="15"/>
        <v>4721005</v>
      </c>
      <c r="H40" s="261">
        <f t="shared" si="15"/>
        <v>2316800</v>
      </c>
      <c r="I40" s="261">
        <f t="shared" si="15"/>
        <v>849695</v>
      </c>
      <c r="J40" s="261">
        <f t="shared" ref="J40" si="16">SUM(J36:J39)</f>
        <v>0</v>
      </c>
      <c r="K40" s="261">
        <f t="shared" si="15"/>
        <v>1088298</v>
      </c>
      <c r="L40" s="261">
        <f t="shared" si="15"/>
        <v>28290081</v>
      </c>
      <c r="M40" s="261">
        <f t="shared" si="15"/>
        <v>515418</v>
      </c>
      <c r="N40" s="261">
        <f t="shared" si="15"/>
        <v>64559303</v>
      </c>
    </row>
    <row r="41" spans="1:16" s="84" customFormat="1" ht="18" customHeight="1">
      <c r="A41" s="160" t="s">
        <v>199</v>
      </c>
      <c r="B41" s="160" t="s">
        <v>125</v>
      </c>
      <c r="C41" s="260">
        <v>34913801</v>
      </c>
      <c r="D41" s="260">
        <v>0</v>
      </c>
      <c r="E41" s="260">
        <v>13905174</v>
      </c>
      <c r="F41" s="260">
        <v>0</v>
      </c>
      <c r="G41" s="260">
        <v>4529964</v>
      </c>
      <c r="H41" s="260">
        <v>0</v>
      </c>
      <c r="I41" s="260">
        <v>516879</v>
      </c>
      <c r="J41" s="260">
        <v>0</v>
      </c>
      <c r="K41" s="260">
        <v>0</v>
      </c>
      <c r="L41" s="260">
        <f>SUM(E41:K41)</f>
        <v>18952017</v>
      </c>
      <c r="M41" s="260">
        <v>0</v>
      </c>
      <c r="N41" s="260">
        <f t="shared" si="14"/>
        <v>53865818</v>
      </c>
      <c r="O41" s="71"/>
      <c r="P41" s="530"/>
    </row>
    <row r="42" spans="1:16" s="84" customFormat="1" ht="21" customHeight="1">
      <c r="A42" s="562" t="s">
        <v>365</v>
      </c>
      <c r="B42" s="563"/>
      <c r="C42" s="261">
        <f t="shared" ref="C42:M42" si="17">SUM(C41)</f>
        <v>34913801</v>
      </c>
      <c r="D42" s="261">
        <f t="shared" si="17"/>
        <v>0</v>
      </c>
      <c r="E42" s="261">
        <f t="shared" si="17"/>
        <v>13905174</v>
      </c>
      <c r="F42" s="261">
        <f t="shared" si="17"/>
        <v>0</v>
      </c>
      <c r="G42" s="261">
        <f t="shared" si="17"/>
        <v>4529964</v>
      </c>
      <c r="H42" s="261">
        <f t="shared" si="17"/>
        <v>0</v>
      </c>
      <c r="I42" s="261">
        <f t="shared" si="17"/>
        <v>516879</v>
      </c>
      <c r="J42" s="261">
        <f t="shared" ref="J42" si="18">SUM(J41)</f>
        <v>0</v>
      </c>
      <c r="K42" s="261">
        <f t="shared" si="17"/>
        <v>0</v>
      </c>
      <c r="L42" s="261">
        <f t="shared" si="17"/>
        <v>18952017</v>
      </c>
      <c r="M42" s="261">
        <f t="shared" si="17"/>
        <v>0</v>
      </c>
      <c r="N42" s="261">
        <f t="shared" si="14"/>
        <v>53865818</v>
      </c>
    </row>
    <row r="43" spans="1:16" s="84" customFormat="1" ht="16.2">
      <c r="A43" s="169"/>
      <c r="B43" s="169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3"/>
    </row>
    <row r="44" spans="1:16" s="84" customFormat="1" ht="15" customHeight="1" thickBot="1">
      <c r="A44" s="165" t="s">
        <v>366</v>
      </c>
      <c r="B44" s="264"/>
      <c r="C44" s="265">
        <f>SUM(C40,C35,C33,C29,C22,C9,C42)</f>
        <v>1040028588</v>
      </c>
      <c r="D44" s="265">
        <f>SUM(D40,D35,D33,D29,D22,D9,D42)</f>
        <v>5685701</v>
      </c>
      <c r="E44" s="265">
        <f>SUM(E40,E35,E33,E29,E22,E9,E42)</f>
        <v>375564386</v>
      </c>
      <c r="F44" s="265">
        <f>SUM(F40,F35,F33,F29,F22,F9,F42)</f>
        <v>31158166</v>
      </c>
      <c r="G44" s="265">
        <f>SUM(G40,G35,G33,G29,G22,G9+G42)</f>
        <v>331713545</v>
      </c>
      <c r="H44" s="265">
        <f>SUM(H40,H35,H33,H29,H22,H9,H42)</f>
        <v>32201755</v>
      </c>
      <c r="I44" s="265">
        <f>SUM(I40,I35,I33,I29,I22,I9,I42)</f>
        <v>13794333</v>
      </c>
      <c r="J44" s="265">
        <f>SUM(J40,J35,J33,J29,J22,J9,J42)</f>
        <v>18655103</v>
      </c>
      <c r="K44" s="265">
        <f>SUM(K40,K35,K33,K29,K22,K9+K42)</f>
        <v>89864593</v>
      </c>
      <c r="L44" s="265">
        <f>SUM(L40,L35,L33,L29,L22,L9,L42)</f>
        <v>892951881</v>
      </c>
      <c r="M44" s="265">
        <f>SUM(M40,M35,M33,M29,M22,M9,M42)</f>
        <v>8441355</v>
      </c>
      <c r="N44" s="266">
        <f>SUM(N40,N35,N33,N29,N22,N9,N42)</f>
        <v>1947107525</v>
      </c>
    </row>
    <row r="45" spans="1:16" s="15" customFormat="1" ht="15" thickTop="1">
      <c r="A45" s="82" t="s">
        <v>148</v>
      </c>
      <c r="B45" s="6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s="15" customFormat="1" ht="14.4">
      <c r="A46" s="62"/>
      <c r="B46" s="62"/>
      <c r="C46" s="10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s="15" customFormat="1" ht="14.4">
      <c r="A47" s="62"/>
      <c r="B47" s="62"/>
      <c r="C47" s="10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s="15" customFormat="1" ht="14.4">
      <c r="A48" s="62"/>
      <c r="B48" s="62"/>
      <c r="C48" s="10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5" customFormat="1" ht="14.4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5" customFormat="1" ht="14.4">
      <c r="A50" s="62"/>
      <c r="B50" s="6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5" customFormat="1" ht="14.4">
      <c r="A51" s="62"/>
      <c r="B51" s="6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5" customFormat="1" ht="13.8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5" customFormat="1" ht="13.8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5" customFormat="1" ht="13.8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80" zoomScaleNormal="80" workbookViewId="0">
      <selection activeCell="M11" sqref="M11"/>
    </sheetView>
  </sheetViews>
  <sheetFormatPr defaultColWidth="9.109375" defaultRowHeight="15.6"/>
  <cols>
    <col min="1" max="1" width="7.6640625" style="191" customWidth="1"/>
    <col min="2" max="2" width="52.6640625" style="191" bestFit="1" customWidth="1"/>
    <col min="3" max="3" width="17.109375" style="194" bestFit="1" customWidth="1"/>
    <col min="4" max="4" width="13.6640625" style="194" bestFit="1" customWidth="1"/>
    <col min="5" max="5" width="16.44140625" style="194" bestFit="1" customWidth="1"/>
    <col min="6" max="9" width="15.109375" style="194" bestFit="1" customWidth="1"/>
    <col min="10" max="10" width="15" style="194" customWidth="1"/>
    <col min="11" max="11" width="15.109375" style="194" bestFit="1" customWidth="1"/>
    <col min="12" max="12" width="16.44140625" style="194" bestFit="1" customWidth="1"/>
    <col min="13" max="13" width="13.88671875" style="194" bestFit="1" customWidth="1"/>
    <col min="14" max="14" width="17.109375" style="194" bestFit="1" customWidth="1"/>
    <col min="15" max="16384" width="9.109375" style="191"/>
  </cols>
  <sheetData>
    <row r="1" spans="1:14" s="369" customFormat="1" ht="16.2">
      <c r="A1" s="242" t="s">
        <v>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>
      <c r="A2" s="243" t="s">
        <v>256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>
      <c r="A3" s="190" t="s">
        <v>423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>
      <c r="A4" s="267"/>
      <c r="B4" s="370"/>
      <c r="C4" s="370"/>
      <c r="D4" s="370"/>
      <c r="E4" s="370"/>
      <c r="F4" s="370"/>
      <c r="G4" s="370"/>
      <c r="H4" s="370"/>
      <c r="I4" s="371"/>
      <c r="J4" s="371"/>
      <c r="K4" s="370"/>
      <c r="L4" s="370"/>
      <c r="M4" s="370"/>
      <c r="N4" s="531"/>
    </row>
    <row r="5" spans="1:14">
      <c r="A5" s="268"/>
      <c r="B5" s="244"/>
      <c r="C5" s="246"/>
      <c r="D5" s="247"/>
      <c r="E5" s="567" t="s">
        <v>6</v>
      </c>
      <c r="F5" s="567"/>
      <c r="G5" s="567"/>
      <c r="H5" s="567"/>
      <c r="I5" s="567"/>
      <c r="J5" s="567"/>
      <c r="K5" s="567"/>
      <c r="L5" s="567"/>
      <c r="M5" s="246"/>
      <c r="N5" s="247"/>
    </row>
    <row r="6" spans="1:14" ht="32.4">
      <c r="A6" s="372"/>
      <c r="B6" s="373"/>
      <c r="C6" s="250" t="s">
        <v>4</v>
      </c>
      <c r="D6" s="374" t="s">
        <v>5</v>
      </c>
      <c r="E6" s="375" t="s">
        <v>252</v>
      </c>
      <c r="F6" s="376" t="s">
        <v>253</v>
      </c>
      <c r="G6" s="376" t="s">
        <v>246</v>
      </c>
      <c r="H6" s="376" t="s">
        <v>254</v>
      </c>
      <c r="I6" s="376" t="s">
        <v>255</v>
      </c>
      <c r="J6" s="376" t="s">
        <v>247</v>
      </c>
      <c r="K6" s="144" t="s">
        <v>248</v>
      </c>
      <c r="L6" s="377" t="s">
        <v>160</v>
      </c>
      <c r="M6" s="254" t="s">
        <v>161</v>
      </c>
      <c r="N6" s="255" t="s">
        <v>162</v>
      </c>
    </row>
    <row r="7" spans="1:14" ht="8.25" customHeight="1">
      <c r="A7" s="422"/>
      <c r="B7" s="422"/>
      <c r="C7" s="423"/>
      <c r="D7" s="423"/>
      <c r="E7" s="424"/>
      <c r="F7" s="424"/>
      <c r="G7" s="424"/>
      <c r="H7" s="424"/>
      <c r="I7" s="424"/>
      <c r="J7" s="424"/>
      <c r="K7" s="425"/>
      <c r="L7" s="425"/>
      <c r="M7" s="425"/>
      <c r="N7" s="425"/>
    </row>
    <row r="8" spans="1:14" s="181" customFormat="1" ht="18" customHeight="1">
      <c r="A8" s="157" t="s">
        <v>24</v>
      </c>
      <c r="B8" s="157" t="s">
        <v>7</v>
      </c>
      <c r="C8" s="378">
        <v>-387050</v>
      </c>
      <c r="D8" s="378">
        <v>0</v>
      </c>
      <c r="E8" s="378">
        <v>0</v>
      </c>
      <c r="F8" s="378">
        <v>0</v>
      </c>
      <c r="G8" s="378">
        <v>0</v>
      </c>
      <c r="H8" s="378">
        <v>0</v>
      </c>
      <c r="I8" s="378">
        <v>0</v>
      </c>
      <c r="J8" s="378">
        <v>0</v>
      </c>
      <c r="K8" s="378">
        <v>0</v>
      </c>
      <c r="L8" s="378">
        <f>SUM(E8:K8)</f>
        <v>0</v>
      </c>
      <c r="M8" s="378">
        <v>0</v>
      </c>
      <c r="N8" s="378">
        <f>SUM(C8,D8,L8,M8)</f>
        <v>-387050</v>
      </c>
    </row>
    <row r="9" spans="1:14" s="181" customFormat="1" ht="18" customHeight="1">
      <c r="A9" s="562" t="s">
        <v>351</v>
      </c>
      <c r="B9" s="563"/>
      <c r="C9" s="379">
        <f>C8</f>
        <v>-387050</v>
      </c>
      <c r="D9" s="379">
        <f t="shared" ref="D9:N9" si="0">D8</f>
        <v>0</v>
      </c>
      <c r="E9" s="379">
        <f t="shared" si="0"/>
        <v>0</v>
      </c>
      <c r="F9" s="379">
        <f t="shared" si="0"/>
        <v>0</v>
      </c>
      <c r="G9" s="379">
        <f t="shared" si="0"/>
        <v>0</v>
      </c>
      <c r="H9" s="379">
        <f t="shared" si="0"/>
        <v>0</v>
      </c>
      <c r="I9" s="379">
        <f t="shared" si="0"/>
        <v>0</v>
      </c>
      <c r="J9" s="379">
        <f t="shared" si="0"/>
        <v>0</v>
      </c>
      <c r="K9" s="379">
        <f t="shared" si="0"/>
        <v>0</v>
      </c>
      <c r="L9" s="379">
        <f t="shared" si="0"/>
        <v>0</v>
      </c>
      <c r="M9" s="379">
        <f t="shared" si="0"/>
        <v>0</v>
      </c>
      <c r="N9" s="379">
        <f t="shared" si="0"/>
        <v>-387050</v>
      </c>
    </row>
    <row r="10" spans="1:14" s="181" customFormat="1" ht="18" customHeight="1">
      <c r="A10" s="157" t="s">
        <v>25</v>
      </c>
      <c r="B10" s="157" t="s">
        <v>8</v>
      </c>
      <c r="C10" s="378">
        <v>9042751</v>
      </c>
      <c r="D10" s="378">
        <v>0</v>
      </c>
      <c r="E10" s="378">
        <v>1583850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f>SUM(E10:K10)</f>
        <v>1583850</v>
      </c>
      <c r="M10" s="378">
        <v>192400</v>
      </c>
      <c r="N10" s="378">
        <f t="shared" ref="N10:N21" si="1">SUM(C10,D10,L10,M10)</f>
        <v>10819001</v>
      </c>
    </row>
    <row r="11" spans="1:14" s="181" customFormat="1" ht="18" customHeight="1">
      <c r="A11" s="157" t="s">
        <v>26</v>
      </c>
      <c r="B11" s="157" t="s">
        <v>9</v>
      </c>
      <c r="C11" s="378">
        <v>1961102</v>
      </c>
      <c r="D11" s="378">
        <v>0</v>
      </c>
      <c r="E11" s="378">
        <v>0</v>
      </c>
      <c r="F11" s="378">
        <v>0</v>
      </c>
      <c r="G11" s="378">
        <v>0</v>
      </c>
      <c r="H11" s="378">
        <v>0</v>
      </c>
      <c r="I11" s="378">
        <v>0</v>
      </c>
      <c r="J11" s="378">
        <v>0</v>
      </c>
      <c r="K11" s="378">
        <v>259876</v>
      </c>
      <c r="L11" s="378">
        <f t="shared" ref="L11:L21" si="2">SUM(E11:K11)</f>
        <v>259876</v>
      </c>
      <c r="M11" s="378">
        <v>-128210</v>
      </c>
      <c r="N11" s="378">
        <f t="shared" si="1"/>
        <v>2092768</v>
      </c>
    </row>
    <row r="12" spans="1:14" s="181" customFormat="1" ht="18" customHeight="1">
      <c r="A12" s="157" t="s">
        <v>27</v>
      </c>
      <c r="B12" s="157" t="s">
        <v>189</v>
      </c>
      <c r="C12" s="378">
        <v>-16737423</v>
      </c>
      <c r="D12" s="378">
        <v>0</v>
      </c>
      <c r="E12" s="378">
        <v>0</v>
      </c>
      <c r="F12" s="378">
        <v>0</v>
      </c>
      <c r="G12" s="378">
        <v>0</v>
      </c>
      <c r="H12" s="378">
        <v>0</v>
      </c>
      <c r="I12" s="378">
        <v>0</v>
      </c>
      <c r="J12" s="378">
        <v>0</v>
      </c>
      <c r="K12" s="378">
        <v>0</v>
      </c>
      <c r="L12" s="378">
        <f t="shared" si="2"/>
        <v>0</v>
      </c>
      <c r="M12" s="378">
        <v>0</v>
      </c>
      <c r="N12" s="378">
        <f t="shared" si="1"/>
        <v>-16737423</v>
      </c>
    </row>
    <row r="13" spans="1:14" s="181" customFormat="1" ht="18" customHeight="1">
      <c r="A13" s="157" t="s">
        <v>28</v>
      </c>
      <c r="B13" s="157" t="s">
        <v>190</v>
      </c>
      <c r="C13" s="378">
        <v>-2530407</v>
      </c>
      <c r="D13" s="378">
        <v>0</v>
      </c>
      <c r="E13" s="378">
        <v>0</v>
      </c>
      <c r="F13" s="378">
        <v>0</v>
      </c>
      <c r="G13" s="378">
        <v>0</v>
      </c>
      <c r="H13" s="378">
        <v>0</v>
      </c>
      <c r="I13" s="378">
        <v>0</v>
      </c>
      <c r="J13" s="378">
        <v>0</v>
      </c>
      <c r="K13" s="378">
        <v>0</v>
      </c>
      <c r="L13" s="378">
        <f t="shared" si="2"/>
        <v>0</v>
      </c>
      <c r="M13" s="378">
        <v>0</v>
      </c>
      <c r="N13" s="378">
        <f t="shared" si="1"/>
        <v>-2530407</v>
      </c>
    </row>
    <row r="14" spans="1:14" s="181" customFormat="1" ht="18" customHeight="1">
      <c r="A14" s="157" t="s">
        <v>29</v>
      </c>
      <c r="B14" s="157" t="s">
        <v>191</v>
      </c>
      <c r="C14" s="378">
        <v>-826948</v>
      </c>
      <c r="D14" s="378">
        <v>0</v>
      </c>
      <c r="E14" s="378">
        <v>0</v>
      </c>
      <c r="F14" s="378">
        <v>0</v>
      </c>
      <c r="G14" s="378">
        <v>0</v>
      </c>
      <c r="H14" s="378">
        <v>0</v>
      </c>
      <c r="I14" s="378">
        <v>0</v>
      </c>
      <c r="J14" s="378">
        <v>0</v>
      </c>
      <c r="K14" s="378">
        <v>0</v>
      </c>
      <c r="L14" s="378">
        <f t="shared" si="2"/>
        <v>0</v>
      </c>
      <c r="M14" s="378">
        <v>0</v>
      </c>
      <c r="N14" s="378">
        <f t="shared" si="1"/>
        <v>-826948</v>
      </c>
    </row>
    <row r="15" spans="1:14" s="181" customFormat="1" ht="18" customHeight="1">
      <c r="A15" s="157" t="s">
        <v>114</v>
      </c>
      <c r="B15" s="157" t="s">
        <v>11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8">
        <v>0</v>
      </c>
      <c r="J15" s="378">
        <v>0</v>
      </c>
      <c r="K15" s="378">
        <v>1675187</v>
      </c>
      <c r="L15" s="378">
        <f t="shared" si="2"/>
        <v>1675187</v>
      </c>
      <c r="M15" s="378">
        <v>0</v>
      </c>
      <c r="N15" s="378">
        <f t="shared" si="1"/>
        <v>1675187</v>
      </c>
    </row>
    <row r="16" spans="1:14" s="181" customFormat="1" ht="18" customHeight="1">
      <c r="A16" s="157" t="s">
        <v>115</v>
      </c>
      <c r="B16" s="157" t="s">
        <v>192</v>
      </c>
      <c r="C16" s="378">
        <v>-5262310</v>
      </c>
      <c r="D16" s="378">
        <v>0</v>
      </c>
      <c r="E16" s="378">
        <v>159512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f t="shared" si="2"/>
        <v>159512</v>
      </c>
      <c r="M16" s="378">
        <v>0</v>
      </c>
      <c r="N16" s="378">
        <f t="shared" si="1"/>
        <v>-5102798</v>
      </c>
    </row>
    <row r="17" spans="1:14" s="181" customFormat="1" ht="18" customHeight="1">
      <c r="A17" s="157" t="s">
        <v>116</v>
      </c>
      <c r="B17" s="157" t="s">
        <v>193</v>
      </c>
      <c r="C17" s="378">
        <v>0</v>
      </c>
      <c r="D17" s="378">
        <v>0</v>
      </c>
      <c r="E17" s="378">
        <v>0</v>
      </c>
      <c r="F17" s="378">
        <v>0</v>
      </c>
      <c r="G17" s="378">
        <v>0</v>
      </c>
      <c r="H17" s="378">
        <v>0</v>
      </c>
      <c r="I17" s="378">
        <v>0</v>
      </c>
      <c r="J17" s="378">
        <v>0</v>
      </c>
      <c r="K17" s="378">
        <v>0</v>
      </c>
      <c r="L17" s="378">
        <f t="shared" si="2"/>
        <v>0</v>
      </c>
      <c r="M17" s="378">
        <v>0</v>
      </c>
      <c r="N17" s="378">
        <f t="shared" si="1"/>
        <v>0</v>
      </c>
    </row>
    <row r="18" spans="1:14" s="181" customFormat="1" ht="18" customHeight="1">
      <c r="A18" s="157" t="s">
        <v>117</v>
      </c>
      <c r="B18" s="157" t="s">
        <v>194</v>
      </c>
      <c r="C18" s="378">
        <v>-49723399</v>
      </c>
      <c r="D18" s="378">
        <v>0</v>
      </c>
      <c r="E18" s="378">
        <v>0</v>
      </c>
      <c r="F18" s="378">
        <v>0</v>
      </c>
      <c r="G18" s="378">
        <v>0</v>
      </c>
      <c r="H18" s="378">
        <v>0</v>
      </c>
      <c r="I18" s="378">
        <v>0</v>
      </c>
      <c r="J18" s="378">
        <v>0</v>
      </c>
      <c r="K18" s="378">
        <v>0</v>
      </c>
      <c r="L18" s="378">
        <f t="shared" si="2"/>
        <v>0</v>
      </c>
      <c r="M18" s="378">
        <v>0</v>
      </c>
      <c r="N18" s="378">
        <f t="shared" si="1"/>
        <v>-49723399</v>
      </c>
    </row>
    <row r="19" spans="1:14" s="181" customFormat="1" ht="18" customHeight="1">
      <c r="A19" s="157" t="s">
        <v>118</v>
      </c>
      <c r="B19" s="157" t="s">
        <v>195</v>
      </c>
      <c r="C19" s="378">
        <v>-826831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78">
        <v>0</v>
      </c>
      <c r="J19" s="378">
        <v>0</v>
      </c>
      <c r="K19" s="378">
        <v>0</v>
      </c>
      <c r="L19" s="378">
        <f t="shared" si="2"/>
        <v>0</v>
      </c>
      <c r="M19" s="378">
        <v>0</v>
      </c>
      <c r="N19" s="378">
        <f t="shared" si="1"/>
        <v>-826831</v>
      </c>
    </row>
    <row r="20" spans="1:14" s="181" customFormat="1" ht="18" customHeight="1">
      <c r="A20" s="157" t="s">
        <v>119</v>
      </c>
      <c r="B20" s="157" t="s">
        <v>196</v>
      </c>
      <c r="C20" s="378">
        <v>-332948</v>
      </c>
      <c r="D20" s="378">
        <v>0</v>
      </c>
      <c r="E20" s="378">
        <v>0</v>
      </c>
      <c r="F20" s="378">
        <v>0</v>
      </c>
      <c r="G20" s="378">
        <v>0</v>
      </c>
      <c r="H20" s="378">
        <v>0</v>
      </c>
      <c r="I20" s="378">
        <v>0</v>
      </c>
      <c r="J20" s="378">
        <v>0</v>
      </c>
      <c r="K20" s="378">
        <v>0</v>
      </c>
      <c r="L20" s="378">
        <f t="shared" si="2"/>
        <v>0</v>
      </c>
      <c r="M20" s="378">
        <v>0</v>
      </c>
      <c r="N20" s="378">
        <f t="shared" si="1"/>
        <v>-332948</v>
      </c>
    </row>
    <row r="21" spans="1:14" s="181" customFormat="1" ht="18" customHeight="1">
      <c r="A21" s="157" t="s">
        <v>120</v>
      </c>
      <c r="B21" s="157" t="s">
        <v>218</v>
      </c>
      <c r="C21" s="378">
        <v>0</v>
      </c>
      <c r="D21" s="378">
        <v>0</v>
      </c>
      <c r="E21" s="378">
        <v>0</v>
      </c>
      <c r="F21" s="378">
        <v>0</v>
      </c>
      <c r="G21" s="378">
        <v>0</v>
      </c>
      <c r="H21" s="378">
        <v>0</v>
      </c>
      <c r="I21" s="378">
        <v>0</v>
      </c>
      <c r="J21" s="378">
        <v>0</v>
      </c>
      <c r="K21" s="378">
        <v>0</v>
      </c>
      <c r="L21" s="378">
        <f t="shared" si="2"/>
        <v>0</v>
      </c>
      <c r="M21" s="378">
        <v>0</v>
      </c>
      <c r="N21" s="378">
        <f t="shared" si="1"/>
        <v>0</v>
      </c>
    </row>
    <row r="22" spans="1:14" s="181" customFormat="1" ht="18" customHeight="1">
      <c r="A22" s="568" t="s">
        <v>367</v>
      </c>
      <c r="B22" s="569"/>
      <c r="C22" s="379">
        <f t="shared" ref="C22:N22" si="3">SUM(C10:C21)</f>
        <v>-65236413</v>
      </c>
      <c r="D22" s="379">
        <f t="shared" si="3"/>
        <v>0</v>
      </c>
      <c r="E22" s="379">
        <f t="shared" si="3"/>
        <v>1743362</v>
      </c>
      <c r="F22" s="379">
        <f t="shared" si="3"/>
        <v>0</v>
      </c>
      <c r="G22" s="379">
        <f t="shared" si="3"/>
        <v>0</v>
      </c>
      <c r="H22" s="379">
        <f t="shared" si="3"/>
        <v>0</v>
      </c>
      <c r="I22" s="379">
        <f t="shared" si="3"/>
        <v>0</v>
      </c>
      <c r="J22" s="379">
        <f t="shared" ref="J22" si="4">SUM(J10:J21)</f>
        <v>0</v>
      </c>
      <c r="K22" s="379">
        <f t="shared" si="3"/>
        <v>1935063</v>
      </c>
      <c r="L22" s="379">
        <f>SUM(L10:L21)</f>
        <v>3678425</v>
      </c>
      <c r="M22" s="379">
        <f t="shared" si="3"/>
        <v>64190</v>
      </c>
      <c r="N22" s="379">
        <f t="shared" si="3"/>
        <v>-61493798</v>
      </c>
    </row>
    <row r="23" spans="1:14" s="181" customFormat="1" ht="18" customHeight="1">
      <c r="A23" s="157" t="s">
        <v>30</v>
      </c>
      <c r="B23" s="157" t="s">
        <v>14</v>
      </c>
      <c r="C23" s="378">
        <v>0</v>
      </c>
      <c r="D23" s="378">
        <v>0</v>
      </c>
      <c r="E23" s="378">
        <v>0</v>
      </c>
      <c r="F23" s="378">
        <v>0</v>
      </c>
      <c r="G23" s="378">
        <v>0</v>
      </c>
      <c r="H23" s="378">
        <v>0</v>
      </c>
      <c r="I23" s="378">
        <v>0</v>
      </c>
      <c r="J23" s="378">
        <v>0</v>
      </c>
      <c r="K23" s="378">
        <v>0</v>
      </c>
      <c r="L23" s="378">
        <f t="shared" ref="L23:L28" si="5">SUM(E23:K23)</f>
        <v>0</v>
      </c>
      <c r="M23" s="378">
        <v>0</v>
      </c>
      <c r="N23" s="378">
        <f t="shared" ref="N23:N28" si="6">SUM(C23,D23,L23,M23)</f>
        <v>0</v>
      </c>
    </row>
    <row r="24" spans="1:14" s="181" customFormat="1" ht="18" customHeight="1">
      <c r="A24" s="157" t="s">
        <v>121</v>
      </c>
      <c r="B24" s="157" t="s">
        <v>15</v>
      </c>
      <c r="C24" s="378">
        <v>0</v>
      </c>
      <c r="D24" s="378">
        <v>0</v>
      </c>
      <c r="E24" s="378">
        <v>0</v>
      </c>
      <c r="F24" s="378">
        <v>0</v>
      </c>
      <c r="G24" s="378">
        <v>0</v>
      </c>
      <c r="H24" s="378">
        <v>0</v>
      </c>
      <c r="I24" s="378">
        <v>0</v>
      </c>
      <c r="J24" s="378">
        <v>0</v>
      </c>
      <c r="K24" s="378">
        <v>0</v>
      </c>
      <c r="L24" s="378">
        <f t="shared" si="5"/>
        <v>0</v>
      </c>
      <c r="M24" s="378">
        <v>0</v>
      </c>
      <c r="N24" s="378">
        <f t="shared" si="6"/>
        <v>0</v>
      </c>
    </row>
    <row r="25" spans="1:14" s="181" customFormat="1" ht="18" customHeight="1">
      <c r="A25" s="157" t="s">
        <v>122</v>
      </c>
      <c r="B25" s="157" t="s">
        <v>16</v>
      </c>
      <c r="C25" s="378">
        <v>0</v>
      </c>
      <c r="D25" s="378">
        <v>0</v>
      </c>
      <c r="E25" s="378">
        <v>0</v>
      </c>
      <c r="F25" s="378">
        <v>0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f t="shared" si="5"/>
        <v>0</v>
      </c>
      <c r="M25" s="378">
        <v>0</v>
      </c>
      <c r="N25" s="378">
        <f t="shared" si="6"/>
        <v>0</v>
      </c>
    </row>
    <row r="26" spans="1:14" s="181" customFormat="1" ht="18" customHeight="1">
      <c r="A26" s="157" t="s">
        <v>104</v>
      </c>
      <c r="B26" s="157" t="s">
        <v>17</v>
      </c>
      <c r="C26" s="378">
        <v>775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f t="shared" si="5"/>
        <v>0</v>
      </c>
      <c r="M26" s="378">
        <v>0</v>
      </c>
      <c r="N26" s="378">
        <f t="shared" si="6"/>
        <v>775</v>
      </c>
    </row>
    <row r="27" spans="1:14" s="181" customFormat="1" ht="18" customHeight="1">
      <c r="A27" s="157" t="s">
        <v>105</v>
      </c>
      <c r="B27" s="157" t="s">
        <v>158</v>
      </c>
      <c r="C27" s="378">
        <v>359124</v>
      </c>
      <c r="D27" s="378">
        <v>0</v>
      </c>
      <c r="E27" s="378">
        <v>0</v>
      </c>
      <c r="F27" s="378">
        <v>0</v>
      </c>
      <c r="G27" s="378">
        <v>0</v>
      </c>
      <c r="H27" s="378">
        <v>0</v>
      </c>
      <c r="I27" s="378">
        <v>0</v>
      </c>
      <c r="J27" s="378">
        <v>248624</v>
      </c>
      <c r="K27" s="378">
        <v>0</v>
      </c>
      <c r="L27" s="378">
        <f t="shared" si="5"/>
        <v>248624</v>
      </c>
      <c r="M27" s="378">
        <v>0</v>
      </c>
      <c r="N27" s="378">
        <f t="shared" si="6"/>
        <v>607748</v>
      </c>
    </row>
    <row r="28" spans="1:14" s="181" customFormat="1" ht="18" customHeight="1">
      <c r="A28" s="157" t="s">
        <v>123</v>
      </c>
      <c r="B28" s="157" t="s">
        <v>159</v>
      </c>
      <c r="C28" s="378">
        <v>-297775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-193895</v>
      </c>
      <c r="K28" s="378">
        <v>0</v>
      </c>
      <c r="L28" s="378">
        <f t="shared" si="5"/>
        <v>-193895</v>
      </c>
      <c r="M28" s="378">
        <v>0</v>
      </c>
      <c r="N28" s="378">
        <f t="shared" si="6"/>
        <v>-491670</v>
      </c>
    </row>
    <row r="29" spans="1:14" s="181" customFormat="1" ht="18" customHeight="1">
      <c r="A29" s="568" t="s">
        <v>368</v>
      </c>
      <c r="B29" s="569"/>
      <c r="C29" s="379">
        <f>SUM(C23:C28)</f>
        <v>62124</v>
      </c>
      <c r="D29" s="379">
        <f t="shared" ref="D29:N29" si="7">SUM(D23:D28)</f>
        <v>0</v>
      </c>
      <c r="E29" s="379">
        <f t="shared" si="7"/>
        <v>0</v>
      </c>
      <c r="F29" s="379">
        <f t="shared" si="7"/>
        <v>0</v>
      </c>
      <c r="G29" s="379">
        <f t="shared" si="7"/>
        <v>0</v>
      </c>
      <c r="H29" s="379">
        <f t="shared" si="7"/>
        <v>0</v>
      </c>
      <c r="I29" s="379">
        <f t="shared" si="7"/>
        <v>0</v>
      </c>
      <c r="J29" s="379">
        <f t="shared" ref="J29" si="8">SUM(J23:J28)</f>
        <v>54729</v>
      </c>
      <c r="K29" s="379">
        <f t="shared" si="7"/>
        <v>0</v>
      </c>
      <c r="L29" s="379">
        <f t="shared" si="7"/>
        <v>54729</v>
      </c>
      <c r="M29" s="379">
        <f t="shared" si="7"/>
        <v>0</v>
      </c>
      <c r="N29" s="379">
        <f t="shared" si="7"/>
        <v>116853</v>
      </c>
    </row>
    <row r="30" spans="1:14" s="181" customFormat="1" ht="18" customHeight="1">
      <c r="A30" s="157" t="s">
        <v>106</v>
      </c>
      <c r="B30" s="157" t="s">
        <v>18</v>
      </c>
      <c r="C30" s="378">
        <v>1416869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f>SUM(E30:K30)</f>
        <v>0</v>
      </c>
      <c r="M30" s="378">
        <v>0</v>
      </c>
      <c r="N30" s="378">
        <f t="shared" ref="N30:N39" si="9">SUM(C30,D30,L30,M30)</f>
        <v>1416869</v>
      </c>
    </row>
    <row r="31" spans="1:14" s="181" customFormat="1" ht="18" customHeight="1">
      <c r="A31" s="157" t="s">
        <v>107</v>
      </c>
      <c r="B31" s="157" t="s">
        <v>124</v>
      </c>
      <c r="C31" s="378">
        <v>258924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8">
        <v>0</v>
      </c>
      <c r="J31" s="378">
        <v>0</v>
      </c>
      <c r="K31" s="378">
        <v>0</v>
      </c>
      <c r="L31" s="378">
        <f>SUM(E31:K31)</f>
        <v>0</v>
      </c>
      <c r="M31" s="378">
        <v>0</v>
      </c>
      <c r="N31" s="378">
        <f t="shared" si="9"/>
        <v>258924</v>
      </c>
    </row>
    <row r="32" spans="1:14" s="181" customFormat="1" ht="18" customHeight="1">
      <c r="A32" s="157" t="s">
        <v>108</v>
      </c>
      <c r="B32" s="147" t="s">
        <v>198</v>
      </c>
      <c r="C32" s="378">
        <v>355763</v>
      </c>
      <c r="D32" s="378">
        <v>0</v>
      </c>
      <c r="E32" s="378">
        <v>0</v>
      </c>
      <c r="F32" s="378">
        <v>0</v>
      </c>
      <c r="G32" s="378">
        <v>0</v>
      </c>
      <c r="H32" s="378">
        <v>0</v>
      </c>
      <c r="I32" s="378">
        <v>0</v>
      </c>
      <c r="J32" s="378">
        <v>0</v>
      </c>
      <c r="K32" s="378">
        <v>0</v>
      </c>
      <c r="L32" s="378">
        <f>SUM(E32:K32)</f>
        <v>0</v>
      </c>
      <c r="M32" s="378">
        <v>0</v>
      </c>
      <c r="N32" s="378">
        <f t="shared" si="9"/>
        <v>355763</v>
      </c>
    </row>
    <row r="33" spans="1:14" s="380" customFormat="1" ht="18" customHeight="1">
      <c r="A33" s="568" t="s">
        <v>369</v>
      </c>
      <c r="B33" s="569"/>
      <c r="C33" s="379">
        <f>SUM(C30:C32)</f>
        <v>2031556</v>
      </c>
      <c r="D33" s="379">
        <f t="shared" ref="D33:N33" si="10">SUM(D30:D32)</f>
        <v>0</v>
      </c>
      <c r="E33" s="379">
        <f t="shared" si="10"/>
        <v>0</v>
      </c>
      <c r="F33" s="379">
        <f t="shared" si="10"/>
        <v>0</v>
      </c>
      <c r="G33" s="379">
        <f t="shared" si="10"/>
        <v>0</v>
      </c>
      <c r="H33" s="379">
        <f t="shared" si="10"/>
        <v>0</v>
      </c>
      <c r="I33" s="379">
        <f t="shared" si="10"/>
        <v>0</v>
      </c>
      <c r="J33" s="379">
        <f t="shared" ref="J33" si="11">SUM(J30:J32)</f>
        <v>0</v>
      </c>
      <c r="K33" s="379">
        <f t="shared" si="10"/>
        <v>0</v>
      </c>
      <c r="L33" s="379">
        <f t="shared" si="10"/>
        <v>0</v>
      </c>
      <c r="M33" s="379">
        <f t="shared" si="10"/>
        <v>0</v>
      </c>
      <c r="N33" s="379">
        <f t="shared" si="10"/>
        <v>2031556</v>
      </c>
    </row>
    <row r="34" spans="1:14" s="380" customFormat="1" ht="18" customHeight="1">
      <c r="A34" s="171" t="s">
        <v>109</v>
      </c>
      <c r="B34" s="381" t="s">
        <v>19</v>
      </c>
      <c r="C34" s="378">
        <v>3710440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f>SUM(E34:K34)</f>
        <v>0</v>
      </c>
      <c r="M34" s="378">
        <v>79832</v>
      </c>
      <c r="N34" s="378">
        <f t="shared" si="9"/>
        <v>3790272</v>
      </c>
    </row>
    <row r="35" spans="1:14" s="380" customFormat="1" ht="18" customHeight="1">
      <c r="A35" s="568" t="s">
        <v>370</v>
      </c>
      <c r="B35" s="569"/>
      <c r="C35" s="379">
        <f>C34</f>
        <v>3710440</v>
      </c>
      <c r="D35" s="379">
        <f t="shared" ref="D35:N35" si="12">D34</f>
        <v>0</v>
      </c>
      <c r="E35" s="379">
        <f t="shared" si="12"/>
        <v>0</v>
      </c>
      <c r="F35" s="379">
        <f t="shared" si="12"/>
        <v>0</v>
      </c>
      <c r="G35" s="379">
        <f t="shared" si="12"/>
        <v>0</v>
      </c>
      <c r="H35" s="379">
        <f t="shared" si="12"/>
        <v>0</v>
      </c>
      <c r="I35" s="379">
        <f t="shared" si="12"/>
        <v>0</v>
      </c>
      <c r="J35" s="379">
        <f t="shared" ref="J35" si="13">J34</f>
        <v>0</v>
      </c>
      <c r="K35" s="379">
        <f t="shared" si="12"/>
        <v>0</v>
      </c>
      <c r="L35" s="379">
        <f t="shared" si="12"/>
        <v>0</v>
      </c>
      <c r="M35" s="379">
        <f t="shared" si="12"/>
        <v>79832</v>
      </c>
      <c r="N35" s="379">
        <f t="shared" si="12"/>
        <v>3790272</v>
      </c>
    </row>
    <row r="36" spans="1:14" s="181" customFormat="1" ht="18" customHeight="1">
      <c r="A36" s="156" t="s">
        <v>110</v>
      </c>
      <c r="B36" s="159" t="s">
        <v>20</v>
      </c>
      <c r="C36" s="378">
        <v>1374527</v>
      </c>
      <c r="D36" s="378">
        <v>0</v>
      </c>
      <c r="E36" s="378">
        <v>0</v>
      </c>
      <c r="F36" s="378">
        <v>0</v>
      </c>
      <c r="G36" s="378">
        <v>0</v>
      </c>
      <c r="H36" s="378">
        <v>0</v>
      </c>
      <c r="I36" s="378">
        <v>0</v>
      </c>
      <c r="J36" s="378">
        <v>0</v>
      </c>
      <c r="K36" s="378">
        <v>0</v>
      </c>
      <c r="L36" s="378">
        <f>SUM(E36:K36)</f>
        <v>0</v>
      </c>
      <c r="M36" s="378">
        <v>0</v>
      </c>
      <c r="N36" s="378">
        <f t="shared" si="9"/>
        <v>1374527</v>
      </c>
    </row>
    <row r="37" spans="1:14" s="181" customFormat="1" ht="18" customHeight="1">
      <c r="A37" s="156" t="s">
        <v>111</v>
      </c>
      <c r="B37" s="159" t="s">
        <v>21</v>
      </c>
      <c r="C37" s="378">
        <v>298457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  <c r="L37" s="378">
        <f>SUM(E37:K37)</f>
        <v>0</v>
      </c>
      <c r="M37" s="378">
        <v>4195</v>
      </c>
      <c r="N37" s="378">
        <f t="shared" si="9"/>
        <v>302652</v>
      </c>
    </row>
    <row r="38" spans="1:14" s="181" customFormat="1" ht="18" customHeight="1">
      <c r="A38" s="156" t="s">
        <v>112</v>
      </c>
      <c r="B38" s="159" t="s">
        <v>22</v>
      </c>
      <c r="C38" s="378">
        <v>212154</v>
      </c>
      <c r="D38" s="378">
        <v>0</v>
      </c>
      <c r="E38" s="378">
        <v>195983</v>
      </c>
      <c r="F38" s="378">
        <v>0</v>
      </c>
      <c r="G38" s="378">
        <v>0</v>
      </c>
      <c r="H38" s="378">
        <v>0</v>
      </c>
      <c r="I38" s="378">
        <v>0</v>
      </c>
      <c r="J38" s="378">
        <v>0</v>
      </c>
      <c r="K38" s="378">
        <v>248</v>
      </c>
      <c r="L38" s="378">
        <f>SUM(E38:K38)</f>
        <v>196231</v>
      </c>
      <c r="M38" s="378">
        <v>0</v>
      </c>
      <c r="N38" s="378">
        <f t="shared" si="9"/>
        <v>408385</v>
      </c>
    </row>
    <row r="39" spans="1:14" s="181" customFormat="1" ht="18" customHeight="1">
      <c r="A39" s="156" t="s">
        <v>113</v>
      </c>
      <c r="B39" s="159" t="s">
        <v>23</v>
      </c>
      <c r="C39" s="378">
        <v>4599181</v>
      </c>
      <c r="D39" s="378">
        <v>0</v>
      </c>
      <c r="E39" s="378">
        <v>0</v>
      </c>
      <c r="F39" s="378">
        <v>0</v>
      </c>
      <c r="G39" s="378">
        <v>0</v>
      </c>
      <c r="H39" s="378">
        <v>0</v>
      </c>
      <c r="I39" s="378">
        <v>0</v>
      </c>
      <c r="J39" s="378">
        <v>0</v>
      </c>
      <c r="K39" s="378">
        <v>0</v>
      </c>
      <c r="L39" s="378">
        <f>SUM(E39:K39)</f>
        <v>0</v>
      </c>
      <c r="M39" s="378">
        <v>0</v>
      </c>
      <c r="N39" s="378">
        <f t="shared" si="9"/>
        <v>4599181</v>
      </c>
    </row>
    <row r="40" spans="1:14" s="380" customFormat="1" ht="18" customHeight="1">
      <c r="A40" s="568" t="s">
        <v>371</v>
      </c>
      <c r="B40" s="569"/>
      <c r="C40" s="379">
        <f t="shared" ref="C40:N40" si="14">SUM(C36:C39)</f>
        <v>6484319</v>
      </c>
      <c r="D40" s="379">
        <f t="shared" si="14"/>
        <v>0</v>
      </c>
      <c r="E40" s="379">
        <f t="shared" si="14"/>
        <v>195983</v>
      </c>
      <c r="F40" s="379">
        <f t="shared" si="14"/>
        <v>0</v>
      </c>
      <c r="G40" s="379">
        <f t="shared" si="14"/>
        <v>0</v>
      </c>
      <c r="H40" s="379">
        <f t="shared" si="14"/>
        <v>0</v>
      </c>
      <c r="I40" s="379">
        <f t="shared" si="14"/>
        <v>0</v>
      </c>
      <c r="J40" s="379">
        <f t="shared" ref="J40" si="15">SUM(J36:J39)</f>
        <v>0</v>
      </c>
      <c r="K40" s="379">
        <f t="shared" si="14"/>
        <v>248</v>
      </c>
      <c r="L40" s="379">
        <f t="shared" si="14"/>
        <v>196231</v>
      </c>
      <c r="M40" s="379">
        <f t="shared" si="14"/>
        <v>4195</v>
      </c>
      <c r="N40" s="379">
        <f t="shared" si="14"/>
        <v>6684745</v>
      </c>
    </row>
    <row r="41" spans="1:14" s="181" customFormat="1" ht="18" customHeight="1">
      <c r="A41" s="382" t="s">
        <v>199</v>
      </c>
      <c r="B41" s="157" t="s">
        <v>125</v>
      </c>
      <c r="C41" s="378">
        <v>25880318</v>
      </c>
      <c r="D41" s="378">
        <v>0</v>
      </c>
      <c r="E41" s="378">
        <v>1966502</v>
      </c>
      <c r="F41" s="378">
        <v>0</v>
      </c>
      <c r="G41" s="378">
        <v>0</v>
      </c>
      <c r="H41" s="378">
        <v>0</v>
      </c>
      <c r="I41" s="378">
        <v>0</v>
      </c>
      <c r="J41" s="378">
        <v>0</v>
      </c>
      <c r="K41" s="378">
        <v>0</v>
      </c>
      <c r="L41" s="378">
        <f>SUM(E41:K41)</f>
        <v>1966502</v>
      </c>
      <c r="M41" s="378">
        <v>0</v>
      </c>
      <c r="N41" s="378">
        <f>SUM(C41,D41,L41,M41)</f>
        <v>27846820</v>
      </c>
    </row>
    <row r="42" spans="1:14" s="380" customFormat="1" ht="18" customHeight="1">
      <c r="A42" s="568" t="s">
        <v>372</v>
      </c>
      <c r="B42" s="569"/>
      <c r="C42" s="379">
        <f t="shared" ref="C42:N42" si="16">SUM(C41)</f>
        <v>25880318</v>
      </c>
      <c r="D42" s="379">
        <f t="shared" si="16"/>
        <v>0</v>
      </c>
      <c r="E42" s="379">
        <f t="shared" si="16"/>
        <v>1966502</v>
      </c>
      <c r="F42" s="379">
        <f t="shared" si="16"/>
        <v>0</v>
      </c>
      <c r="G42" s="379">
        <f t="shared" si="16"/>
        <v>0</v>
      </c>
      <c r="H42" s="379">
        <f t="shared" si="16"/>
        <v>0</v>
      </c>
      <c r="I42" s="379">
        <f t="shared" si="16"/>
        <v>0</v>
      </c>
      <c r="J42" s="379">
        <f t="shared" si="16"/>
        <v>0</v>
      </c>
      <c r="K42" s="379">
        <f t="shared" si="16"/>
        <v>0</v>
      </c>
      <c r="L42" s="379">
        <f t="shared" si="16"/>
        <v>1966502</v>
      </c>
      <c r="M42" s="379">
        <f t="shared" si="16"/>
        <v>0</v>
      </c>
      <c r="N42" s="379">
        <f t="shared" si="16"/>
        <v>27846820</v>
      </c>
    </row>
    <row r="43" spans="1:14" s="380" customFormat="1" ht="6.75" customHeight="1">
      <c r="A43" s="169"/>
      <c r="B43" s="169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</row>
    <row r="44" spans="1:14" s="380" customFormat="1" ht="18" customHeight="1" thickBot="1">
      <c r="A44" s="384" t="s">
        <v>373</v>
      </c>
      <c r="B44" s="384"/>
      <c r="C44" s="385">
        <f t="shared" ref="C44:N44" si="17">SUM(C40,C35,C33,C29,C22,C9,C42)</f>
        <v>-27454706</v>
      </c>
      <c r="D44" s="385">
        <f t="shared" si="17"/>
        <v>0</v>
      </c>
      <c r="E44" s="385">
        <f t="shared" si="17"/>
        <v>3905847</v>
      </c>
      <c r="F44" s="385">
        <f t="shared" si="17"/>
        <v>0</v>
      </c>
      <c r="G44" s="385">
        <f t="shared" si="17"/>
        <v>0</v>
      </c>
      <c r="H44" s="385">
        <f t="shared" si="17"/>
        <v>0</v>
      </c>
      <c r="I44" s="385">
        <f t="shared" si="17"/>
        <v>0</v>
      </c>
      <c r="J44" s="385">
        <f t="shared" si="17"/>
        <v>54729</v>
      </c>
      <c r="K44" s="385">
        <f t="shared" si="17"/>
        <v>1935311</v>
      </c>
      <c r="L44" s="385">
        <f t="shared" si="17"/>
        <v>5895887</v>
      </c>
      <c r="M44" s="385">
        <f t="shared" si="17"/>
        <v>148217</v>
      </c>
      <c r="N44" s="385">
        <f t="shared" si="17"/>
        <v>-21410602</v>
      </c>
    </row>
    <row r="45" spans="1:14" ht="16.8" thickTop="1">
      <c r="A45" s="386" t="s">
        <v>148</v>
      </c>
      <c r="B45" s="369"/>
    </row>
    <row r="46" spans="1:14">
      <c r="A46" s="369"/>
      <c r="B46" s="369"/>
    </row>
    <row r="47" spans="1:14">
      <c r="A47" s="369"/>
      <c r="B47" s="369"/>
    </row>
    <row r="48" spans="1:14">
      <c r="A48" s="369"/>
      <c r="B48" s="369"/>
    </row>
    <row r="49" spans="1:13">
      <c r="A49" s="369"/>
      <c r="B49" s="369"/>
    </row>
    <row r="50" spans="1:13">
      <c r="A50" s="369"/>
      <c r="B50" s="369"/>
    </row>
    <row r="51" spans="1:13">
      <c r="A51" s="369"/>
      <c r="B51" s="369"/>
    </row>
    <row r="52" spans="1:13">
      <c r="A52" s="369"/>
      <c r="B52" s="369"/>
    </row>
    <row r="57" spans="1:13">
      <c r="M57" s="213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32"/>
  <sheetViews>
    <sheetView zoomScale="85" zoomScaleNormal="85" zoomScaleSheetLayoutView="85" workbookViewId="0">
      <selection activeCell="A29" sqref="A29"/>
    </sheetView>
  </sheetViews>
  <sheetFormatPr defaultColWidth="9.21875" defaultRowHeight="13.2"/>
  <cols>
    <col min="1" max="1" width="77" style="454" bestFit="1" customWidth="1"/>
    <col min="2" max="2" width="11.44140625" style="454" hidden="1" customWidth="1"/>
    <col min="3" max="3" width="12" style="454" hidden="1" customWidth="1"/>
    <col min="4" max="5" width="12.21875" style="454" hidden="1" customWidth="1"/>
    <col min="6" max="7" width="12" style="454" hidden="1" customWidth="1"/>
    <col min="8" max="8" width="12.5546875" style="454" hidden="1" customWidth="1"/>
    <col min="9" max="9" width="12.21875" style="454" hidden="1" customWidth="1"/>
    <col min="10" max="10" width="12.6640625" style="454" customWidth="1"/>
    <col min="11" max="11" width="12.21875" style="454" hidden="1" customWidth="1"/>
    <col min="12" max="12" width="11.5546875" style="454" hidden="1" customWidth="1"/>
    <col min="13" max="13" width="12.5546875" style="454" hidden="1" customWidth="1"/>
    <col min="14" max="14" width="16.88671875" style="454" bestFit="1" customWidth="1"/>
    <col min="15" max="15" width="31" style="454" customWidth="1"/>
    <col min="16" max="16" width="11.109375" style="454" customWidth="1"/>
    <col min="17" max="17" width="18.33203125" style="454" hidden="1" customWidth="1"/>
    <col min="18" max="18" width="18.21875" style="454" hidden="1" customWidth="1"/>
    <col min="19" max="19" width="10.44140625" style="454" hidden="1" customWidth="1"/>
    <col min="20" max="20" width="11.109375" style="454" customWidth="1"/>
    <col min="21" max="21" width="31" style="454" customWidth="1"/>
    <col min="22" max="24" width="9.21875" style="454" customWidth="1"/>
    <col min="25" max="256" width="9.21875" style="454"/>
    <col min="257" max="257" width="56.77734375" style="454" customWidth="1"/>
    <col min="258" max="258" width="9.6640625" style="454" customWidth="1"/>
    <col min="259" max="269" width="0" style="454" hidden="1" customWidth="1"/>
    <col min="270" max="270" width="14.88671875" style="454" bestFit="1" customWidth="1"/>
    <col min="271" max="276" width="0" style="454" hidden="1" customWidth="1"/>
    <col min="277" max="277" width="31" style="454" customWidth="1"/>
    <col min="278" max="512" width="9.21875" style="454"/>
    <col min="513" max="513" width="56.77734375" style="454" customWidth="1"/>
    <col min="514" max="514" width="9.6640625" style="454" customWidth="1"/>
    <col min="515" max="525" width="0" style="454" hidden="1" customWidth="1"/>
    <col min="526" max="526" width="14.88671875" style="454" bestFit="1" customWidth="1"/>
    <col min="527" max="532" width="0" style="454" hidden="1" customWidth="1"/>
    <col min="533" max="533" width="31" style="454" customWidth="1"/>
    <col min="534" max="768" width="9.21875" style="454"/>
    <col min="769" max="769" width="56.77734375" style="454" customWidth="1"/>
    <col min="770" max="770" width="9.6640625" style="454" customWidth="1"/>
    <col min="771" max="781" width="0" style="454" hidden="1" customWidth="1"/>
    <col min="782" max="782" width="14.88671875" style="454" bestFit="1" customWidth="1"/>
    <col min="783" max="788" width="0" style="454" hidden="1" customWidth="1"/>
    <col min="789" max="789" width="31" style="454" customWidth="1"/>
    <col min="790" max="1024" width="9.21875" style="454"/>
    <col min="1025" max="1025" width="56.77734375" style="454" customWidth="1"/>
    <col min="1026" max="1026" width="9.6640625" style="454" customWidth="1"/>
    <col min="1027" max="1037" width="0" style="454" hidden="1" customWidth="1"/>
    <col min="1038" max="1038" width="14.88671875" style="454" bestFit="1" customWidth="1"/>
    <col min="1039" max="1044" width="0" style="454" hidden="1" customWidth="1"/>
    <col min="1045" max="1045" width="31" style="454" customWidth="1"/>
    <col min="1046" max="1280" width="9.21875" style="454"/>
    <col min="1281" max="1281" width="56.77734375" style="454" customWidth="1"/>
    <col min="1282" max="1282" width="9.6640625" style="454" customWidth="1"/>
    <col min="1283" max="1293" width="0" style="454" hidden="1" customWidth="1"/>
    <col min="1294" max="1294" width="14.88671875" style="454" bestFit="1" customWidth="1"/>
    <col min="1295" max="1300" width="0" style="454" hidden="1" customWidth="1"/>
    <col min="1301" max="1301" width="31" style="454" customWidth="1"/>
    <col min="1302" max="1536" width="9.21875" style="454"/>
    <col min="1537" max="1537" width="56.77734375" style="454" customWidth="1"/>
    <col min="1538" max="1538" width="9.6640625" style="454" customWidth="1"/>
    <col min="1539" max="1549" width="0" style="454" hidden="1" customWidth="1"/>
    <col min="1550" max="1550" width="14.88671875" style="454" bestFit="1" customWidth="1"/>
    <col min="1551" max="1556" width="0" style="454" hidden="1" customWidth="1"/>
    <col min="1557" max="1557" width="31" style="454" customWidth="1"/>
    <col min="1558" max="1792" width="9.21875" style="454"/>
    <col min="1793" max="1793" width="56.77734375" style="454" customWidth="1"/>
    <col min="1794" max="1794" width="9.6640625" style="454" customWidth="1"/>
    <col min="1795" max="1805" width="0" style="454" hidden="1" customWidth="1"/>
    <col min="1806" max="1806" width="14.88671875" style="454" bestFit="1" customWidth="1"/>
    <col min="1807" max="1812" width="0" style="454" hidden="1" customWidth="1"/>
    <col min="1813" max="1813" width="31" style="454" customWidth="1"/>
    <col min="1814" max="2048" width="9.21875" style="454"/>
    <col min="2049" max="2049" width="56.77734375" style="454" customWidth="1"/>
    <col min="2050" max="2050" width="9.6640625" style="454" customWidth="1"/>
    <col min="2051" max="2061" width="0" style="454" hidden="1" customWidth="1"/>
    <col min="2062" max="2062" width="14.88671875" style="454" bestFit="1" customWidth="1"/>
    <col min="2063" max="2068" width="0" style="454" hidden="1" customWidth="1"/>
    <col min="2069" max="2069" width="31" style="454" customWidth="1"/>
    <col min="2070" max="2304" width="9.21875" style="454"/>
    <col min="2305" max="2305" width="56.77734375" style="454" customWidth="1"/>
    <col min="2306" max="2306" width="9.6640625" style="454" customWidth="1"/>
    <col min="2307" max="2317" width="0" style="454" hidden="1" customWidth="1"/>
    <col min="2318" max="2318" width="14.88671875" style="454" bestFit="1" customWidth="1"/>
    <col min="2319" max="2324" width="0" style="454" hidden="1" customWidth="1"/>
    <col min="2325" max="2325" width="31" style="454" customWidth="1"/>
    <col min="2326" max="2560" width="9.21875" style="454"/>
    <col min="2561" max="2561" width="56.77734375" style="454" customWidth="1"/>
    <col min="2562" max="2562" width="9.6640625" style="454" customWidth="1"/>
    <col min="2563" max="2573" width="0" style="454" hidden="1" customWidth="1"/>
    <col min="2574" max="2574" width="14.88671875" style="454" bestFit="1" customWidth="1"/>
    <col min="2575" max="2580" width="0" style="454" hidden="1" customWidth="1"/>
    <col min="2581" max="2581" width="31" style="454" customWidth="1"/>
    <col min="2582" max="2816" width="9.21875" style="454"/>
    <col min="2817" max="2817" width="56.77734375" style="454" customWidth="1"/>
    <col min="2818" max="2818" width="9.6640625" style="454" customWidth="1"/>
    <col min="2819" max="2829" width="0" style="454" hidden="1" customWidth="1"/>
    <col min="2830" max="2830" width="14.88671875" style="454" bestFit="1" customWidth="1"/>
    <col min="2831" max="2836" width="0" style="454" hidden="1" customWidth="1"/>
    <col min="2837" max="2837" width="31" style="454" customWidth="1"/>
    <col min="2838" max="3072" width="9.21875" style="454"/>
    <col min="3073" max="3073" width="56.77734375" style="454" customWidth="1"/>
    <col min="3074" max="3074" width="9.6640625" style="454" customWidth="1"/>
    <col min="3075" max="3085" width="0" style="454" hidden="1" customWidth="1"/>
    <col min="3086" max="3086" width="14.88671875" style="454" bestFit="1" customWidth="1"/>
    <col min="3087" max="3092" width="0" style="454" hidden="1" customWidth="1"/>
    <col min="3093" max="3093" width="31" style="454" customWidth="1"/>
    <col min="3094" max="3328" width="9.21875" style="454"/>
    <col min="3329" max="3329" width="56.77734375" style="454" customWidth="1"/>
    <col min="3330" max="3330" width="9.6640625" style="454" customWidth="1"/>
    <col min="3331" max="3341" width="0" style="454" hidden="1" customWidth="1"/>
    <col min="3342" max="3342" width="14.88671875" style="454" bestFit="1" customWidth="1"/>
    <col min="3343" max="3348" width="0" style="454" hidden="1" customWidth="1"/>
    <col min="3349" max="3349" width="31" style="454" customWidth="1"/>
    <col min="3350" max="3584" width="9.21875" style="454"/>
    <col min="3585" max="3585" width="56.77734375" style="454" customWidth="1"/>
    <col min="3586" max="3586" width="9.6640625" style="454" customWidth="1"/>
    <col min="3587" max="3597" width="0" style="454" hidden="1" customWidth="1"/>
    <col min="3598" max="3598" width="14.88671875" style="454" bestFit="1" customWidth="1"/>
    <col min="3599" max="3604" width="0" style="454" hidden="1" customWidth="1"/>
    <col min="3605" max="3605" width="31" style="454" customWidth="1"/>
    <col min="3606" max="3840" width="9.21875" style="454"/>
    <col min="3841" max="3841" width="56.77734375" style="454" customWidth="1"/>
    <col min="3842" max="3842" width="9.6640625" style="454" customWidth="1"/>
    <col min="3843" max="3853" width="0" style="454" hidden="1" customWidth="1"/>
    <col min="3854" max="3854" width="14.88671875" style="454" bestFit="1" customWidth="1"/>
    <col min="3855" max="3860" width="0" style="454" hidden="1" customWidth="1"/>
    <col min="3861" max="3861" width="31" style="454" customWidth="1"/>
    <col min="3862" max="4096" width="9.21875" style="454"/>
    <col min="4097" max="4097" width="56.77734375" style="454" customWidth="1"/>
    <col min="4098" max="4098" width="9.6640625" style="454" customWidth="1"/>
    <col min="4099" max="4109" width="0" style="454" hidden="1" customWidth="1"/>
    <col min="4110" max="4110" width="14.88671875" style="454" bestFit="1" customWidth="1"/>
    <col min="4111" max="4116" width="0" style="454" hidden="1" customWidth="1"/>
    <col min="4117" max="4117" width="31" style="454" customWidth="1"/>
    <col min="4118" max="4352" width="9.21875" style="454"/>
    <col min="4353" max="4353" width="56.77734375" style="454" customWidth="1"/>
    <col min="4354" max="4354" width="9.6640625" style="454" customWidth="1"/>
    <col min="4355" max="4365" width="0" style="454" hidden="1" customWidth="1"/>
    <col min="4366" max="4366" width="14.88671875" style="454" bestFit="1" customWidth="1"/>
    <col min="4367" max="4372" width="0" style="454" hidden="1" customWidth="1"/>
    <col min="4373" max="4373" width="31" style="454" customWidth="1"/>
    <col min="4374" max="4608" width="9.21875" style="454"/>
    <col min="4609" max="4609" width="56.77734375" style="454" customWidth="1"/>
    <col min="4610" max="4610" width="9.6640625" style="454" customWidth="1"/>
    <col min="4611" max="4621" width="0" style="454" hidden="1" customWidth="1"/>
    <col min="4622" max="4622" width="14.88671875" style="454" bestFit="1" customWidth="1"/>
    <col min="4623" max="4628" width="0" style="454" hidden="1" customWidth="1"/>
    <col min="4629" max="4629" width="31" style="454" customWidth="1"/>
    <col min="4630" max="4864" width="9.21875" style="454"/>
    <col min="4865" max="4865" width="56.77734375" style="454" customWidth="1"/>
    <col min="4866" max="4866" width="9.6640625" style="454" customWidth="1"/>
    <col min="4867" max="4877" width="0" style="454" hidden="1" customWidth="1"/>
    <col min="4878" max="4878" width="14.88671875" style="454" bestFit="1" customWidth="1"/>
    <col min="4879" max="4884" width="0" style="454" hidden="1" customWidth="1"/>
    <col min="4885" max="4885" width="31" style="454" customWidth="1"/>
    <col min="4886" max="5120" width="9.21875" style="454"/>
    <col min="5121" max="5121" width="56.77734375" style="454" customWidth="1"/>
    <col min="5122" max="5122" width="9.6640625" style="454" customWidth="1"/>
    <col min="5123" max="5133" width="0" style="454" hidden="1" customWidth="1"/>
    <col min="5134" max="5134" width="14.88671875" style="454" bestFit="1" customWidth="1"/>
    <col min="5135" max="5140" width="0" style="454" hidden="1" customWidth="1"/>
    <col min="5141" max="5141" width="31" style="454" customWidth="1"/>
    <col min="5142" max="5376" width="9.21875" style="454"/>
    <col min="5377" max="5377" width="56.77734375" style="454" customWidth="1"/>
    <col min="5378" max="5378" width="9.6640625" style="454" customWidth="1"/>
    <col min="5379" max="5389" width="0" style="454" hidden="1" customWidth="1"/>
    <col min="5390" max="5390" width="14.88671875" style="454" bestFit="1" customWidth="1"/>
    <col min="5391" max="5396" width="0" style="454" hidden="1" customWidth="1"/>
    <col min="5397" max="5397" width="31" style="454" customWidth="1"/>
    <col min="5398" max="5632" width="9.21875" style="454"/>
    <col min="5633" max="5633" width="56.77734375" style="454" customWidth="1"/>
    <col min="5634" max="5634" width="9.6640625" style="454" customWidth="1"/>
    <col min="5635" max="5645" width="0" style="454" hidden="1" customWidth="1"/>
    <col min="5646" max="5646" width="14.88671875" style="454" bestFit="1" customWidth="1"/>
    <col min="5647" max="5652" width="0" style="454" hidden="1" customWidth="1"/>
    <col min="5653" max="5653" width="31" style="454" customWidth="1"/>
    <col min="5654" max="5888" width="9.21875" style="454"/>
    <col min="5889" max="5889" width="56.77734375" style="454" customWidth="1"/>
    <col min="5890" max="5890" width="9.6640625" style="454" customWidth="1"/>
    <col min="5891" max="5901" width="0" style="454" hidden="1" customWidth="1"/>
    <col min="5902" max="5902" width="14.88671875" style="454" bestFit="1" customWidth="1"/>
    <col min="5903" max="5908" width="0" style="454" hidden="1" customWidth="1"/>
    <col min="5909" max="5909" width="31" style="454" customWidth="1"/>
    <col min="5910" max="6144" width="9.21875" style="454"/>
    <col min="6145" max="6145" width="56.77734375" style="454" customWidth="1"/>
    <col min="6146" max="6146" width="9.6640625" style="454" customWidth="1"/>
    <col min="6147" max="6157" width="0" style="454" hidden="1" customWidth="1"/>
    <col min="6158" max="6158" width="14.88671875" style="454" bestFit="1" customWidth="1"/>
    <col min="6159" max="6164" width="0" style="454" hidden="1" customWidth="1"/>
    <col min="6165" max="6165" width="31" style="454" customWidth="1"/>
    <col min="6166" max="6400" width="9.21875" style="454"/>
    <col min="6401" max="6401" width="56.77734375" style="454" customWidth="1"/>
    <col min="6402" max="6402" width="9.6640625" style="454" customWidth="1"/>
    <col min="6403" max="6413" width="0" style="454" hidden="1" customWidth="1"/>
    <col min="6414" max="6414" width="14.88671875" style="454" bestFit="1" customWidth="1"/>
    <col min="6415" max="6420" width="0" style="454" hidden="1" customWidth="1"/>
    <col min="6421" max="6421" width="31" style="454" customWidth="1"/>
    <col min="6422" max="6656" width="9.21875" style="454"/>
    <col min="6657" max="6657" width="56.77734375" style="454" customWidth="1"/>
    <col min="6658" max="6658" width="9.6640625" style="454" customWidth="1"/>
    <col min="6659" max="6669" width="0" style="454" hidden="1" customWidth="1"/>
    <col min="6670" max="6670" width="14.88671875" style="454" bestFit="1" customWidth="1"/>
    <col min="6671" max="6676" width="0" style="454" hidden="1" customWidth="1"/>
    <col min="6677" max="6677" width="31" style="454" customWidth="1"/>
    <col min="6678" max="6912" width="9.21875" style="454"/>
    <col min="6913" max="6913" width="56.77734375" style="454" customWidth="1"/>
    <col min="6914" max="6914" width="9.6640625" style="454" customWidth="1"/>
    <col min="6915" max="6925" width="0" style="454" hidden="1" customWidth="1"/>
    <col min="6926" max="6926" width="14.88671875" style="454" bestFit="1" customWidth="1"/>
    <col min="6927" max="6932" width="0" style="454" hidden="1" customWidth="1"/>
    <col min="6933" max="6933" width="31" style="454" customWidth="1"/>
    <col min="6934" max="7168" width="9.21875" style="454"/>
    <col min="7169" max="7169" width="56.77734375" style="454" customWidth="1"/>
    <col min="7170" max="7170" width="9.6640625" style="454" customWidth="1"/>
    <col min="7171" max="7181" width="0" style="454" hidden="1" customWidth="1"/>
    <col min="7182" max="7182" width="14.88671875" style="454" bestFit="1" customWidth="1"/>
    <col min="7183" max="7188" width="0" style="454" hidden="1" customWidth="1"/>
    <col min="7189" max="7189" width="31" style="454" customWidth="1"/>
    <col min="7190" max="7424" width="9.21875" style="454"/>
    <col min="7425" max="7425" width="56.77734375" style="454" customWidth="1"/>
    <col min="7426" max="7426" width="9.6640625" style="454" customWidth="1"/>
    <col min="7427" max="7437" width="0" style="454" hidden="1" customWidth="1"/>
    <col min="7438" max="7438" width="14.88671875" style="454" bestFit="1" customWidth="1"/>
    <col min="7439" max="7444" width="0" style="454" hidden="1" customWidth="1"/>
    <col min="7445" max="7445" width="31" style="454" customWidth="1"/>
    <col min="7446" max="7680" width="9.21875" style="454"/>
    <col min="7681" max="7681" width="56.77734375" style="454" customWidth="1"/>
    <col min="7682" max="7682" width="9.6640625" style="454" customWidth="1"/>
    <col min="7683" max="7693" width="0" style="454" hidden="1" customWidth="1"/>
    <col min="7694" max="7694" width="14.88671875" style="454" bestFit="1" customWidth="1"/>
    <col min="7695" max="7700" width="0" style="454" hidden="1" customWidth="1"/>
    <col min="7701" max="7701" width="31" style="454" customWidth="1"/>
    <col min="7702" max="7936" width="9.21875" style="454"/>
    <col min="7937" max="7937" width="56.77734375" style="454" customWidth="1"/>
    <col min="7938" max="7938" width="9.6640625" style="454" customWidth="1"/>
    <col min="7939" max="7949" width="0" style="454" hidden="1" customWidth="1"/>
    <col min="7950" max="7950" width="14.88671875" style="454" bestFit="1" customWidth="1"/>
    <col min="7951" max="7956" width="0" style="454" hidden="1" customWidth="1"/>
    <col min="7957" max="7957" width="31" style="454" customWidth="1"/>
    <col min="7958" max="8192" width="9.21875" style="454"/>
    <col min="8193" max="8193" width="56.77734375" style="454" customWidth="1"/>
    <col min="8194" max="8194" width="9.6640625" style="454" customWidth="1"/>
    <col min="8195" max="8205" width="0" style="454" hidden="1" customWidth="1"/>
    <col min="8206" max="8206" width="14.88671875" style="454" bestFit="1" customWidth="1"/>
    <col min="8207" max="8212" width="0" style="454" hidden="1" customWidth="1"/>
    <col min="8213" max="8213" width="31" style="454" customWidth="1"/>
    <col min="8214" max="8448" width="9.21875" style="454"/>
    <col min="8449" max="8449" width="56.77734375" style="454" customWidth="1"/>
    <col min="8450" max="8450" width="9.6640625" style="454" customWidth="1"/>
    <col min="8451" max="8461" width="0" style="454" hidden="1" customWidth="1"/>
    <col min="8462" max="8462" width="14.88671875" style="454" bestFit="1" customWidth="1"/>
    <col min="8463" max="8468" width="0" style="454" hidden="1" customWidth="1"/>
    <col min="8469" max="8469" width="31" style="454" customWidth="1"/>
    <col min="8470" max="8704" width="9.21875" style="454"/>
    <col min="8705" max="8705" width="56.77734375" style="454" customWidth="1"/>
    <col min="8706" max="8706" width="9.6640625" style="454" customWidth="1"/>
    <col min="8707" max="8717" width="0" style="454" hidden="1" customWidth="1"/>
    <col min="8718" max="8718" width="14.88671875" style="454" bestFit="1" customWidth="1"/>
    <col min="8719" max="8724" width="0" style="454" hidden="1" customWidth="1"/>
    <col min="8725" max="8725" width="31" style="454" customWidth="1"/>
    <col min="8726" max="8960" width="9.21875" style="454"/>
    <col min="8961" max="8961" width="56.77734375" style="454" customWidth="1"/>
    <col min="8962" max="8962" width="9.6640625" style="454" customWidth="1"/>
    <col min="8963" max="8973" width="0" style="454" hidden="1" customWidth="1"/>
    <col min="8974" max="8974" width="14.88671875" style="454" bestFit="1" customWidth="1"/>
    <col min="8975" max="8980" width="0" style="454" hidden="1" customWidth="1"/>
    <col min="8981" max="8981" width="31" style="454" customWidth="1"/>
    <col min="8982" max="9216" width="9.21875" style="454"/>
    <col min="9217" max="9217" width="56.77734375" style="454" customWidth="1"/>
    <col min="9218" max="9218" width="9.6640625" style="454" customWidth="1"/>
    <col min="9219" max="9229" width="0" style="454" hidden="1" customWidth="1"/>
    <col min="9230" max="9230" width="14.88671875" style="454" bestFit="1" customWidth="1"/>
    <col min="9231" max="9236" width="0" style="454" hidden="1" customWidth="1"/>
    <col min="9237" max="9237" width="31" style="454" customWidth="1"/>
    <col min="9238" max="9472" width="9.21875" style="454"/>
    <col min="9473" max="9473" width="56.77734375" style="454" customWidth="1"/>
    <col min="9474" max="9474" width="9.6640625" style="454" customWidth="1"/>
    <col min="9475" max="9485" width="0" style="454" hidden="1" customWidth="1"/>
    <col min="9486" max="9486" width="14.88671875" style="454" bestFit="1" customWidth="1"/>
    <col min="9487" max="9492" width="0" style="454" hidden="1" customWidth="1"/>
    <col min="9493" max="9493" width="31" style="454" customWidth="1"/>
    <col min="9494" max="9728" width="9.21875" style="454"/>
    <col min="9729" max="9729" width="56.77734375" style="454" customWidth="1"/>
    <col min="9730" max="9730" width="9.6640625" style="454" customWidth="1"/>
    <col min="9731" max="9741" width="0" style="454" hidden="1" customWidth="1"/>
    <col min="9742" max="9742" width="14.88671875" style="454" bestFit="1" customWidth="1"/>
    <col min="9743" max="9748" width="0" style="454" hidden="1" customWidth="1"/>
    <col min="9749" max="9749" width="31" style="454" customWidth="1"/>
    <col min="9750" max="9984" width="9.21875" style="454"/>
    <col min="9985" max="9985" width="56.77734375" style="454" customWidth="1"/>
    <col min="9986" max="9986" width="9.6640625" style="454" customWidth="1"/>
    <col min="9987" max="9997" width="0" style="454" hidden="1" customWidth="1"/>
    <col min="9998" max="9998" width="14.88671875" style="454" bestFit="1" customWidth="1"/>
    <col min="9999" max="10004" width="0" style="454" hidden="1" customWidth="1"/>
    <col min="10005" max="10005" width="31" style="454" customWidth="1"/>
    <col min="10006" max="10240" width="9.21875" style="454"/>
    <col min="10241" max="10241" width="56.77734375" style="454" customWidth="1"/>
    <col min="10242" max="10242" width="9.6640625" style="454" customWidth="1"/>
    <col min="10243" max="10253" width="0" style="454" hidden="1" customWidth="1"/>
    <col min="10254" max="10254" width="14.88671875" style="454" bestFit="1" customWidth="1"/>
    <col min="10255" max="10260" width="0" style="454" hidden="1" customWidth="1"/>
    <col min="10261" max="10261" width="31" style="454" customWidth="1"/>
    <col min="10262" max="10496" width="9.21875" style="454"/>
    <col min="10497" max="10497" width="56.77734375" style="454" customWidth="1"/>
    <col min="10498" max="10498" width="9.6640625" style="454" customWidth="1"/>
    <col min="10499" max="10509" width="0" style="454" hidden="1" customWidth="1"/>
    <col min="10510" max="10510" width="14.88671875" style="454" bestFit="1" customWidth="1"/>
    <col min="10511" max="10516" width="0" style="454" hidden="1" customWidth="1"/>
    <col min="10517" max="10517" width="31" style="454" customWidth="1"/>
    <col min="10518" max="10752" width="9.21875" style="454"/>
    <col min="10753" max="10753" width="56.77734375" style="454" customWidth="1"/>
    <col min="10754" max="10754" width="9.6640625" style="454" customWidth="1"/>
    <col min="10755" max="10765" width="0" style="454" hidden="1" customWidth="1"/>
    <col min="10766" max="10766" width="14.88671875" style="454" bestFit="1" customWidth="1"/>
    <col min="10767" max="10772" width="0" style="454" hidden="1" customWidth="1"/>
    <col min="10773" max="10773" width="31" style="454" customWidth="1"/>
    <col min="10774" max="11008" width="9.21875" style="454"/>
    <col min="11009" max="11009" width="56.77734375" style="454" customWidth="1"/>
    <col min="11010" max="11010" width="9.6640625" style="454" customWidth="1"/>
    <col min="11011" max="11021" width="0" style="454" hidden="1" customWidth="1"/>
    <col min="11022" max="11022" width="14.88671875" style="454" bestFit="1" customWidth="1"/>
    <col min="11023" max="11028" width="0" style="454" hidden="1" customWidth="1"/>
    <col min="11029" max="11029" width="31" style="454" customWidth="1"/>
    <col min="11030" max="11264" width="9.21875" style="454"/>
    <col min="11265" max="11265" width="56.77734375" style="454" customWidth="1"/>
    <col min="11266" max="11266" width="9.6640625" style="454" customWidth="1"/>
    <col min="11267" max="11277" width="0" style="454" hidden="1" customWidth="1"/>
    <col min="11278" max="11278" width="14.88671875" style="454" bestFit="1" customWidth="1"/>
    <col min="11279" max="11284" width="0" style="454" hidden="1" customWidth="1"/>
    <col min="11285" max="11285" width="31" style="454" customWidth="1"/>
    <col min="11286" max="11520" width="9.21875" style="454"/>
    <col min="11521" max="11521" width="56.77734375" style="454" customWidth="1"/>
    <col min="11522" max="11522" width="9.6640625" style="454" customWidth="1"/>
    <col min="11523" max="11533" width="0" style="454" hidden="1" customWidth="1"/>
    <col min="11534" max="11534" width="14.88671875" style="454" bestFit="1" customWidth="1"/>
    <col min="11535" max="11540" width="0" style="454" hidden="1" customWidth="1"/>
    <col min="11541" max="11541" width="31" style="454" customWidth="1"/>
    <col min="11542" max="11776" width="9.21875" style="454"/>
    <col min="11777" max="11777" width="56.77734375" style="454" customWidth="1"/>
    <col min="11778" max="11778" width="9.6640625" style="454" customWidth="1"/>
    <col min="11779" max="11789" width="0" style="454" hidden="1" customWidth="1"/>
    <col min="11790" max="11790" width="14.88671875" style="454" bestFit="1" customWidth="1"/>
    <col min="11791" max="11796" width="0" style="454" hidden="1" customWidth="1"/>
    <col min="11797" max="11797" width="31" style="454" customWidth="1"/>
    <col min="11798" max="12032" width="9.21875" style="454"/>
    <col min="12033" max="12033" width="56.77734375" style="454" customWidth="1"/>
    <col min="12034" max="12034" width="9.6640625" style="454" customWidth="1"/>
    <col min="12035" max="12045" width="0" style="454" hidden="1" customWidth="1"/>
    <col min="12046" max="12046" width="14.88671875" style="454" bestFit="1" customWidth="1"/>
    <col min="12047" max="12052" width="0" style="454" hidden="1" customWidth="1"/>
    <col min="12053" max="12053" width="31" style="454" customWidth="1"/>
    <col min="12054" max="12288" width="9.21875" style="454"/>
    <col min="12289" max="12289" width="56.77734375" style="454" customWidth="1"/>
    <col min="12290" max="12290" width="9.6640625" style="454" customWidth="1"/>
    <col min="12291" max="12301" width="0" style="454" hidden="1" customWidth="1"/>
    <col min="12302" max="12302" width="14.88671875" style="454" bestFit="1" customWidth="1"/>
    <col min="12303" max="12308" width="0" style="454" hidden="1" customWidth="1"/>
    <col min="12309" max="12309" width="31" style="454" customWidth="1"/>
    <col min="12310" max="12544" width="9.21875" style="454"/>
    <col min="12545" max="12545" width="56.77734375" style="454" customWidth="1"/>
    <col min="12546" max="12546" width="9.6640625" style="454" customWidth="1"/>
    <col min="12547" max="12557" width="0" style="454" hidden="1" customWidth="1"/>
    <col min="12558" max="12558" width="14.88671875" style="454" bestFit="1" customWidth="1"/>
    <col min="12559" max="12564" width="0" style="454" hidden="1" customWidth="1"/>
    <col min="12565" max="12565" width="31" style="454" customWidth="1"/>
    <col min="12566" max="12800" width="9.21875" style="454"/>
    <col min="12801" max="12801" width="56.77734375" style="454" customWidth="1"/>
    <col min="12802" max="12802" width="9.6640625" style="454" customWidth="1"/>
    <col min="12803" max="12813" width="0" style="454" hidden="1" customWidth="1"/>
    <col min="12814" max="12814" width="14.88671875" style="454" bestFit="1" customWidth="1"/>
    <col min="12815" max="12820" width="0" style="454" hidden="1" customWidth="1"/>
    <col min="12821" max="12821" width="31" style="454" customWidth="1"/>
    <col min="12822" max="13056" width="9.21875" style="454"/>
    <col min="13057" max="13057" width="56.77734375" style="454" customWidth="1"/>
    <col min="13058" max="13058" width="9.6640625" style="454" customWidth="1"/>
    <col min="13059" max="13069" width="0" style="454" hidden="1" customWidth="1"/>
    <col min="13070" max="13070" width="14.88671875" style="454" bestFit="1" customWidth="1"/>
    <col min="13071" max="13076" width="0" style="454" hidden="1" customWidth="1"/>
    <col min="13077" max="13077" width="31" style="454" customWidth="1"/>
    <col min="13078" max="13312" width="9.21875" style="454"/>
    <col min="13313" max="13313" width="56.77734375" style="454" customWidth="1"/>
    <col min="13314" max="13314" width="9.6640625" style="454" customWidth="1"/>
    <col min="13315" max="13325" width="0" style="454" hidden="1" customWidth="1"/>
    <col min="13326" max="13326" width="14.88671875" style="454" bestFit="1" customWidth="1"/>
    <col min="13327" max="13332" width="0" style="454" hidden="1" customWidth="1"/>
    <col min="13333" max="13333" width="31" style="454" customWidth="1"/>
    <col min="13334" max="13568" width="9.21875" style="454"/>
    <col min="13569" max="13569" width="56.77734375" style="454" customWidth="1"/>
    <col min="13570" max="13570" width="9.6640625" style="454" customWidth="1"/>
    <col min="13571" max="13581" width="0" style="454" hidden="1" customWidth="1"/>
    <col min="13582" max="13582" width="14.88671875" style="454" bestFit="1" customWidth="1"/>
    <col min="13583" max="13588" width="0" style="454" hidden="1" customWidth="1"/>
    <col min="13589" max="13589" width="31" style="454" customWidth="1"/>
    <col min="13590" max="13824" width="9.21875" style="454"/>
    <col min="13825" max="13825" width="56.77734375" style="454" customWidth="1"/>
    <col min="13826" max="13826" width="9.6640625" style="454" customWidth="1"/>
    <col min="13827" max="13837" width="0" style="454" hidden="1" customWidth="1"/>
    <col min="13838" max="13838" width="14.88671875" style="454" bestFit="1" customWidth="1"/>
    <col min="13839" max="13844" width="0" style="454" hidden="1" customWidth="1"/>
    <col min="13845" max="13845" width="31" style="454" customWidth="1"/>
    <col min="13846" max="14080" width="9.21875" style="454"/>
    <col min="14081" max="14081" width="56.77734375" style="454" customWidth="1"/>
    <col min="14082" max="14082" width="9.6640625" style="454" customWidth="1"/>
    <col min="14083" max="14093" width="0" style="454" hidden="1" customWidth="1"/>
    <col min="14094" max="14094" width="14.88671875" style="454" bestFit="1" customWidth="1"/>
    <col min="14095" max="14100" width="0" style="454" hidden="1" customWidth="1"/>
    <col min="14101" max="14101" width="31" style="454" customWidth="1"/>
    <col min="14102" max="14336" width="9.21875" style="454"/>
    <col min="14337" max="14337" width="56.77734375" style="454" customWidth="1"/>
    <col min="14338" max="14338" width="9.6640625" style="454" customWidth="1"/>
    <col min="14339" max="14349" width="0" style="454" hidden="1" customWidth="1"/>
    <col min="14350" max="14350" width="14.88671875" style="454" bestFit="1" customWidth="1"/>
    <col min="14351" max="14356" width="0" style="454" hidden="1" customWidth="1"/>
    <col min="14357" max="14357" width="31" style="454" customWidth="1"/>
    <col min="14358" max="14592" width="9.21875" style="454"/>
    <col min="14593" max="14593" width="56.77734375" style="454" customWidth="1"/>
    <col min="14594" max="14594" width="9.6640625" style="454" customWidth="1"/>
    <col min="14595" max="14605" width="0" style="454" hidden="1" customWidth="1"/>
    <col min="14606" max="14606" width="14.88671875" style="454" bestFit="1" customWidth="1"/>
    <col min="14607" max="14612" width="0" style="454" hidden="1" customWidth="1"/>
    <col min="14613" max="14613" width="31" style="454" customWidth="1"/>
    <col min="14614" max="14848" width="9.21875" style="454"/>
    <col min="14849" max="14849" width="56.77734375" style="454" customWidth="1"/>
    <col min="14850" max="14850" width="9.6640625" style="454" customWidth="1"/>
    <col min="14851" max="14861" width="0" style="454" hidden="1" customWidth="1"/>
    <col min="14862" max="14862" width="14.88671875" style="454" bestFit="1" customWidth="1"/>
    <col min="14863" max="14868" width="0" style="454" hidden="1" customWidth="1"/>
    <col min="14869" max="14869" width="31" style="454" customWidth="1"/>
    <col min="14870" max="15104" width="9.21875" style="454"/>
    <col min="15105" max="15105" width="56.77734375" style="454" customWidth="1"/>
    <col min="15106" max="15106" width="9.6640625" style="454" customWidth="1"/>
    <col min="15107" max="15117" width="0" style="454" hidden="1" customWidth="1"/>
    <col min="15118" max="15118" width="14.88671875" style="454" bestFit="1" customWidth="1"/>
    <col min="15119" max="15124" width="0" style="454" hidden="1" customWidth="1"/>
    <col min="15125" max="15125" width="31" style="454" customWidth="1"/>
    <col min="15126" max="15360" width="9.21875" style="454"/>
    <col min="15361" max="15361" width="56.77734375" style="454" customWidth="1"/>
    <col min="15362" max="15362" width="9.6640625" style="454" customWidth="1"/>
    <col min="15363" max="15373" width="0" style="454" hidden="1" customWidth="1"/>
    <col min="15374" max="15374" width="14.88671875" style="454" bestFit="1" customWidth="1"/>
    <col min="15375" max="15380" width="0" style="454" hidden="1" customWidth="1"/>
    <col min="15381" max="15381" width="31" style="454" customWidth="1"/>
    <col min="15382" max="15616" width="9.21875" style="454"/>
    <col min="15617" max="15617" width="56.77734375" style="454" customWidth="1"/>
    <col min="15618" max="15618" width="9.6640625" style="454" customWidth="1"/>
    <col min="15619" max="15629" width="0" style="454" hidden="1" customWidth="1"/>
    <col min="15630" max="15630" width="14.88671875" style="454" bestFit="1" customWidth="1"/>
    <col min="15631" max="15636" width="0" style="454" hidden="1" customWidth="1"/>
    <col min="15637" max="15637" width="31" style="454" customWidth="1"/>
    <col min="15638" max="15872" width="9.21875" style="454"/>
    <col min="15873" max="15873" width="56.77734375" style="454" customWidth="1"/>
    <col min="15874" max="15874" width="9.6640625" style="454" customWidth="1"/>
    <col min="15875" max="15885" width="0" style="454" hidden="1" customWidth="1"/>
    <col min="15886" max="15886" width="14.88671875" style="454" bestFit="1" customWidth="1"/>
    <col min="15887" max="15892" width="0" style="454" hidden="1" customWidth="1"/>
    <col min="15893" max="15893" width="31" style="454" customWidth="1"/>
    <col min="15894" max="16128" width="9.21875" style="454"/>
    <col min="16129" max="16129" width="56.77734375" style="454" customWidth="1"/>
    <col min="16130" max="16130" width="9.6640625" style="454" customWidth="1"/>
    <col min="16131" max="16141" width="0" style="454" hidden="1" customWidth="1"/>
    <col min="16142" max="16142" width="14.88671875" style="454" bestFit="1" customWidth="1"/>
    <col min="16143" max="16148" width="0" style="454" hidden="1" customWidth="1"/>
    <col min="16149" max="16149" width="31" style="454" customWidth="1"/>
    <col min="16150" max="16384" width="9.21875" style="454"/>
  </cols>
  <sheetData>
    <row r="1" spans="1:19" s="446" customFormat="1" ht="16.2">
      <c r="A1" s="570" t="s">
        <v>303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Q1" s="447"/>
      <c r="R1" s="448"/>
      <c r="S1" s="449"/>
    </row>
    <row r="2" spans="1:19" s="446" customFormat="1" ht="15.6">
      <c r="A2" s="571" t="s">
        <v>302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Q2" s="450"/>
      <c r="R2" s="451"/>
      <c r="S2" s="449"/>
    </row>
    <row r="3" spans="1:19" s="446" customFormat="1" ht="15.6">
      <c r="A3" s="572" t="str">
        <f>R4</f>
        <v>May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Q3" s="450"/>
      <c r="R3" s="451"/>
      <c r="S3" s="449"/>
    </row>
    <row r="4" spans="1:19" s="446" customFormat="1">
      <c r="A4" s="452"/>
      <c r="Q4" s="450" t="s">
        <v>400</v>
      </c>
      <c r="R4" s="451" t="str">
        <f>TEXT(S4,"mmmm yyyy")</f>
        <v>May 2017</v>
      </c>
      <c r="S4" s="453">
        <v>42886</v>
      </c>
    </row>
    <row r="5" spans="1:19" ht="15.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Q5" s="450" t="s">
        <v>401</v>
      </c>
      <c r="R5" s="451" t="str">
        <f>S5</f>
        <v>.</v>
      </c>
      <c r="S5" s="455" t="s">
        <v>402</v>
      </c>
    </row>
    <row r="6" spans="1:19" ht="15.6">
      <c r="A6" s="104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 t="str">
        <f>"FY "&amp;R6&amp;" YTD"</f>
        <v>FY 2017 YTD</v>
      </c>
      <c r="Q6" s="450" t="s">
        <v>403</v>
      </c>
      <c r="R6" s="451" t="str">
        <f>S6</f>
        <v>2017</v>
      </c>
      <c r="S6" s="455" t="s">
        <v>404</v>
      </c>
    </row>
    <row r="7" spans="1:19" ht="16.2" thickBot="1">
      <c r="A7" s="104"/>
      <c r="B7" s="456" t="str">
        <f>"9/1/20"&amp;$R$10</f>
        <v>9/1/2016</v>
      </c>
      <c r="C7" s="456" t="str">
        <f>"Oct 20"&amp;$R$10</f>
        <v>Oct 2016</v>
      </c>
      <c r="D7" s="529" t="str">
        <f>"Nov 20"&amp;$R$10</f>
        <v>Nov 2016</v>
      </c>
      <c r="E7" s="529" t="str">
        <f>"Dec 20"&amp;$R$10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3" t="str">
        <f>"as of "&amp;R8</f>
        <v>as of 05/31/17</v>
      </c>
      <c r="Q7" s="450" t="s">
        <v>405</v>
      </c>
      <c r="R7" s="451" t="str">
        <f>TEXT(S7,"mmmm-dd-yyyy")</f>
        <v>May-31-2017</v>
      </c>
      <c r="S7" s="453">
        <f>S4</f>
        <v>42886</v>
      </c>
    </row>
    <row r="8" spans="1:19" ht="16.2" thickTop="1">
      <c r="A8" s="10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Q8" s="450" t="s">
        <v>405</v>
      </c>
      <c r="R8" s="451" t="str">
        <f>TEXT(S8,"mm/dd/yy")</f>
        <v>05/31/17</v>
      </c>
      <c r="S8" s="453">
        <f>S4</f>
        <v>42886</v>
      </c>
    </row>
    <row r="9" spans="1:19" ht="16.2" thickBot="1">
      <c r="A9" s="532" t="s">
        <v>301</v>
      </c>
      <c r="B9" s="111">
        <v>0</v>
      </c>
      <c r="C9" s="111">
        <f>B9</f>
        <v>0</v>
      </c>
      <c r="D9" s="111">
        <f t="shared" ref="D9:M9" si="0">C9</f>
        <v>0</v>
      </c>
      <c r="E9" s="111">
        <f t="shared" si="0"/>
        <v>0</v>
      </c>
      <c r="F9" s="111">
        <f t="shared" si="0"/>
        <v>0</v>
      </c>
      <c r="G9" s="111">
        <f t="shared" si="0"/>
        <v>0</v>
      </c>
      <c r="H9" s="111">
        <f t="shared" si="0"/>
        <v>0</v>
      </c>
      <c r="I9" s="111">
        <f t="shared" si="0"/>
        <v>0</v>
      </c>
      <c r="J9" s="111">
        <f t="shared" si="0"/>
        <v>0</v>
      </c>
      <c r="K9" s="111">
        <f t="shared" si="0"/>
        <v>0</v>
      </c>
      <c r="L9" s="111">
        <f t="shared" si="0"/>
        <v>0</v>
      </c>
      <c r="M9" s="111">
        <f t="shared" si="0"/>
        <v>0</v>
      </c>
      <c r="N9" s="111">
        <f t="shared" ref="N9" si="1">+M29</f>
        <v>0</v>
      </c>
      <c r="Q9" s="450" t="s">
        <v>403</v>
      </c>
      <c r="R9" s="451">
        <f>S9</f>
        <v>17</v>
      </c>
      <c r="S9" s="457">
        <v>17</v>
      </c>
    </row>
    <row r="10" spans="1:19" ht="15.6">
      <c r="A10" s="10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Q10" s="520" t="s">
        <v>406</v>
      </c>
      <c r="R10" s="521">
        <f>S10</f>
        <v>16</v>
      </c>
      <c r="S10" s="458">
        <f>S9-1</f>
        <v>16</v>
      </c>
    </row>
    <row r="11" spans="1:19" ht="15.6">
      <c r="A11" s="106" t="s">
        <v>300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9" ht="15.6">
      <c r="A12" s="10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9" ht="15.6">
      <c r="A13" s="110" t="s">
        <v>299</v>
      </c>
      <c r="B13" s="103">
        <v>869.22</v>
      </c>
      <c r="C13" s="103">
        <v>22.45</v>
      </c>
      <c r="D13" s="103">
        <v>179.08</v>
      </c>
      <c r="E13" s="103">
        <v>104.5</v>
      </c>
      <c r="F13" s="103">
        <v>899.65</v>
      </c>
      <c r="G13" s="103">
        <v>5.84</v>
      </c>
      <c r="H13" s="103">
        <v>15.05</v>
      </c>
      <c r="I13" s="103">
        <v>1369.53</v>
      </c>
      <c r="J13" s="103">
        <v>14.72</v>
      </c>
      <c r="K13" s="103"/>
      <c r="L13" s="103"/>
      <c r="M13" s="103"/>
      <c r="N13" s="103">
        <f>SUM(B13:M13)</f>
        <v>3480.0400000000004</v>
      </c>
    </row>
    <row r="14" spans="1:19" ht="15.6">
      <c r="A14" s="104" t="s">
        <v>298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>
        <f>SUM(B14:M14)</f>
        <v>0</v>
      </c>
    </row>
    <row r="15" spans="1:19" ht="15.6">
      <c r="A15" s="104" t="s">
        <v>297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>
        <f>SUM(B15:M15)</f>
        <v>0</v>
      </c>
    </row>
    <row r="16" spans="1:19" ht="15.6">
      <c r="A16" s="104" t="s">
        <v>296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>
        <f>SUM(B16:M16)</f>
        <v>0</v>
      </c>
    </row>
    <row r="17" spans="1:14" ht="15.6">
      <c r="A17" s="104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9"/>
    </row>
    <row r="18" spans="1:14" ht="15.6">
      <c r="A18" s="106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</row>
    <row r="19" spans="1:14" ht="15.6">
      <c r="A19" s="104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14" ht="15.6">
      <c r="A20" s="108" t="s">
        <v>295</v>
      </c>
      <c r="B20" s="105">
        <f t="shared" ref="B20:M20" si="2">SUM(B9:B16)</f>
        <v>869.22</v>
      </c>
      <c r="C20" s="105">
        <f>SUM(C9:C16)</f>
        <v>22.45</v>
      </c>
      <c r="D20" s="105">
        <f t="shared" si="2"/>
        <v>179.08</v>
      </c>
      <c r="E20" s="105">
        <f t="shared" si="2"/>
        <v>104.5</v>
      </c>
      <c r="F20" s="105">
        <f t="shared" si="2"/>
        <v>899.65</v>
      </c>
      <c r="G20" s="105">
        <f t="shared" si="2"/>
        <v>5.84</v>
      </c>
      <c r="H20" s="105">
        <f t="shared" si="2"/>
        <v>15.05</v>
      </c>
      <c r="I20" s="105">
        <f t="shared" si="2"/>
        <v>1369.53</v>
      </c>
      <c r="J20" s="105">
        <f t="shared" si="2"/>
        <v>14.72</v>
      </c>
      <c r="K20" s="105">
        <f t="shared" si="2"/>
        <v>0</v>
      </c>
      <c r="L20" s="105">
        <f t="shared" si="2"/>
        <v>0</v>
      </c>
      <c r="M20" s="105">
        <f t="shared" si="2"/>
        <v>0</v>
      </c>
      <c r="N20" s="105">
        <f>SUM(N11:N16)</f>
        <v>3480.0400000000004</v>
      </c>
    </row>
    <row r="21" spans="1:14" ht="15.6">
      <c r="A21" s="104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5.6">
      <c r="A22" s="106" t="s">
        <v>294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5.6">
      <c r="A23" s="106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15.6">
      <c r="A24" s="107" t="s">
        <v>293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>
        <v>0</v>
      </c>
      <c r="N24" s="103">
        <f>SUM(B24:M24)</f>
        <v>0</v>
      </c>
    </row>
    <row r="25" spans="1:14" ht="15.6">
      <c r="A25" s="106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ht="15.6">
      <c r="A26" s="106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ht="15.6">
      <c r="A27" s="106" t="s">
        <v>292</v>
      </c>
      <c r="B27" s="105">
        <f>SUM(B21:B26)</f>
        <v>0</v>
      </c>
      <c r="C27" s="105">
        <f t="shared" ref="C27:M27" si="3">SUM(C23:C26)</f>
        <v>0</v>
      </c>
      <c r="D27" s="105">
        <f t="shared" si="3"/>
        <v>0</v>
      </c>
      <c r="E27" s="105">
        <f t="shared" si="3"/>
        <v>0</v>
      </c>
      <c r="F27" s="105">
        <f t="shared" si="3"/>
        <v>0</v>
      </c>
      <c r="G27" s="105">
        <f t="shared" si="3"/>
        <v>0</v>
      </c>
      <c r="H27" s="105">
        <f t="shared" si="3"/>
        <v>0</v>
      </c>
      <c r="I27" s="105">
        <f t="shared" si="3"/>
        <v>0</v>
      </c>
      <c r="J27" s="105">
        <f t="shared" si="3"/>
        <v>0</v>
      </c>
      <c r="K27" s="105">
        <f t="shared" si="3"/>
        <v>0</v>
      </c>
      <c r="L27" s="105">
        <f t="shared" si="3"/>
        <v>0</v>
      </c>
      <c r="M27" s="105">
        <f t="shared" si="3"/>
        <v>0</v>
      </c>
      <c r="N27" s="105">
        <f>SUM(N21:N26)</f>
        <v>0</v>
      </c>
    </row>
    <row r="28" spans="1:14" ht="15.6">
      <c r="A28" s="104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6.2" thickBot="1">
      <c r="A29" s="546" t="s">
        <v>291</v>
      </c>
      <c r="B29" s="547">
        <f>+B20+B27+B9</f>
        <v>869.22</v>
      </c>
      <c r="C29" s="547">
        <f>+C20+C27</f>
        <v>22.45</v>
      </c>
      <c r="D29" s="547">
        <f t="shared" ref="D29:N29" si="4">+D20+D27</f>
        <v>179.08</v>
      </c>
      <c r="E29" s="547">
        <f t="shared" si="4"/>
        <v>104.5</v>
      </c>
      <c r="F29" s="547">
        <f t="shared" si="4"/>
        <v>899.65</v>
      </c>
      <c r="G29" s="547">
        <f t="shared" si="4"/>
        <v>5.84</v>
      </c>
      <c r="H29" s="547">
        <f t="shared" si="4"/>
        <v>15.05</v>
      </c>
      <c r="I29" s="547">
        <f t="shared" si="4"/>
        <v>1369.53</v>
      </c>
      <c r="J29" s="547">
        <f t="shared" si="4"/>
        <v>14.72</v>
      </c>
      <c r="K29" s="547">
        <f t="shared" si="4"/>
        <v>0</v>
      </c>
      <c r="L29" s="547">
        <f t="shared" si="4"/>
        <v>0</v>
      </c>
      <c r="M29" s="547">
        <f t="shared" si="4"/>
        <v>0</v>
      </c>
      <c r="N29" s="547">
        <f t="shared" si="4"/>
        <v>3480.0400000000004</v>
      </c>
    </row>
    <row r="30" spans="1:14" ht="16.2" thickTop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6">
      <c r="A31" s="101" t="s">
        <v>290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ht="15.6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51"/>
  <sheetViews>
    <sheetView topLeftCell="A10" zoomScale="85" zoomScaleNormal="85" zoomScaleSheetLayoutView="85" workbookViewId="0">
      <selection activeCell="A29" sqref="A29"/>
    </sheetView>
  </sheetViews>
  <sheetFormatPr defaultColWidth="9.21875" defaultRowHeight="13.2"/>
  <cols>
    <col min="1" max="1" width="72.21875" style="467" bestFit="1" customWidth="1"/>
    <col min="2" max="2" width="11.44140625" style="467" hidden="1" customWidth="1"/>
    <col min="3" max="3" width="12" style="467" hidden="1" customWidth="1"/>
    <col min="4" max="4" width="12.21875" style="467" hidden="1" customWidth="1"/>
    <col min="5" max="9" width="13.6640625" style="467" hidden="1" customWidth="1"/>
    <col min="10" max="10" width="13.6640625" style="467" customWidth="1"/>
    <col min="11" max="13" width="13.6640625" style="467" hidden="1" customWidth="1"/>
    <col min="14" max="14" width="16.88671875" style="467" bestFit="1" customWidth="1"/>
    <col min="15" max="16" width="22.21875" style="467" customWidth="1"/>
    <col min="17" max="17" width="19.109375" style="467" hidden="1" customWidth="1"/>
    <col min="18" max="18" width="16.5546875" style="467" hidden="1" customWidth="1"/>
    <col min="19" max="19" width="9.33203125" style="467" hidden="1" customWidth="1"/>
    <col min="20" max="20" width="22.21875" style="467" customWidth="1"/>
    <col min="21" max="24" width="9.21875" style="467" customWidth="1"/>
    <col min="25" max="256" width="9.21875" style="467"/>
    <col min="257" max="257" width="64.5546875" style="467" bestFit="1" customWidth="1"/>
    <col min="258" max="258" width="11.6640625" style="467" bestFit="1" customWidth="1"/>
    <col min="259" max="269" width="0" style="467" hidden="1" customWidth="1"/>
    <col min="270" max="270" width="14.88671875" style="467" customWidth="1"/>
    <col min="271" max="277" width="0" style="467" hidden="1" customWidth="1"/>
    <col min="278" max="512" width="9.21875" style="467"/>
    <col min="513" max="513" width="64.5546875" style="467" bestFit="1" customWidth="1"/>
    <col min="514" max="514" width="11.6640625" style="467" bestFit="1" customWidth="1"/>
    <col min="515" max="525" width="0" style="467" hidden="1" customWidth="1"/>
    <col min="526" max="526" width="14.88671875" style="467" customWidth="1"/>
    <col min="527" max="533" width="0" style="467" hidden="1" customWidth="1"/>
    <col min="534" max="768" width="9.21875" style="467"/>
    <col min="769" max="769" width="64.5546875" style="467" bestFit="1" customWidth="1"/>
    <col min="770" max="770" width="11.6640625" style="467" bestFit="1" customWidth="1"/>
    <col min="771" max="781" width="0" style="467" hidden="1" customWidth="1"/>
    <col min="782" max="782" width="14.88671875" style="467" customWidth="1"/>
    <col min="783" max="789" width="0" style="467" hidden="1" customWidth="1"/>
    <col min="790" max="1024" width="9.21875" style="467"/>
    <col min="1025" max="1025" width="64.5546875" style="467" bestFit="1" customWidth="1"/>
    <col min="1026" max="1026" width="11.6640625" style="467" bestFit="1" customWidth="1"/>
    <col min="1027" max="1037" width="0" style="467" hidden="1" customWidth="1"/>
    <col min="1038" max="1038" width="14.88671875" style="467" customWidth="1"/>
    <col min="1039" max="1045" width="0" style="467" hidden="1" customWidth="1"/>
    <col min="1046" max="1280" width="9.21875" style="467"/>
    <col min="1281" max="1281" width="64.5546875" style="467" bestFit="1" customWidth="1"/>
    <col min="1282" max="1282" width="11.6640625" style="467" bestFit="1" customWidth="1"/>
    <col min="1283" max="1293" width="0" style="467" hidden="1" customWidth="1"/>
    <col min="1294" max="1294" width="14.88671875" style="467" customWidth="1"/>
    <col min="1295" max="1301" width="0" style="467" hidden="1" customWidth="1"/>
    <col min="1302" max="1536" width="9.21875" style="467"/>
    <col min="1537" max="1537" width="64.5546875" style="467" bestFit="1" customWidth="1"/>
    <col min="1538" max="1538" width="11.6640625" style="467" bestFit="1" customWidth="1"/>
    <col min="1539" max="1549" width="0" style="467" hidden="1" customWidth="1"/>
    <col min="1550" max="1550" width="14.88671875" style="467" customWidth="1"/>
    <col min="1551" max="1557" width="0" style="467" hidden="1" customWidth="1"/>
    <col min="1558" max="1792" width="9.21875" style="467"/>
    <col min="1793" max="1793" width="64.5546875" style="467" bestFit="1" customWidth="1"/>
    <col min="1794" max="1794" width="11.6640625" style="467" bestFit="1" customWidth="1"/>
    <col min="1795" max="1805" width="0" style="467" hidden="1" customWidth="1"/>
    <col min="1806" max="1806" width="14.88671875" style="467" customWidth="1"/>
    <col min="1807" max="1813" width="0" style="467" hidden="1" customWidth="1"/>
    <col min="1814" max="2048" width="9.21875" style="467"/>
    <col min="2049" max="2049" width="64.5546875" style="467" bestFit="1" customWidth="1"/>
    <col min="2050" max="2050" width="11.6640625" style="467" bestFit="1" customWidth="1"/>
    <col min="2051" max="2061" width="0" style="467" hidden="1" customWidth="1"/>
    <col min="2062" max="2062" width="14.88671875" style="467" customWidth="1"/>
    <col min="2063" max="2069" width="0" style="467" hidden="1" customWidth="1"/>
    <col min="2070" max="2304" width="9.21875" style="467"/>
    <col min="2305" max="2305" width="64.5546875" style="467" bestFit="1" customWidth="1"/>
    <col min="2306" max="2306" width="11.6640625" style="467" bestFit="1" customWidth="1"/>
    <col min="2307" max="2317" width="0" style="467" hidden="1" customWidth="1"/>
    <col min="2318" max="2318" width="14.88671875" style="467" customWidth="1"/>
    <col min="2319" max="2325" width="0" style="467" hidden="1" customWidth="1"/>
    <col min="2326" max="2560" width="9.21875" style="467"/>
    <col min="2561" max="2561" width="64.5546875" style="467" bestFit="1" customWidth="1"/>
    <col min="2562" max="2562" width="11.6640625" style="467" bestFit="1" customWidth="1"/>
    <col min="2563" max="2573" width="0" style="467" hidden="1" customWidth="1"/>
    <col min="2574" max="2574" width="14.88671875" style="467" customWidth="1"/>
    <col min="2575" max="2581" width="0" style="467" hidden="1" customWidth="1"/>
    <col min="2582" max="2816" width="9.21875" style="467"/>
    <col min="2817" max="2817" width="64.5546875" style="467" bestFit="1" customWidth="1"/>
    <col min="2818" max="2818" width="11.6640625" style="467" bestFit="1" customWidth="1"/>
    <col min="2819" max="2829" width="0" style="467" hidden="1" customWidth="1"/>
    <col min="2830" max="2830" width="14.88671875" style="467" customWidth="1"/>
    <col min="2831" max="2837" width="0" style="467" hidden="1" customWidth="1"/>
    <col min="2838" max="3072" width="9.21875" style="467"/>
    <col min="3073" max="3073" width="64.5546875" style="467" bestFit="1" customWidth="1"/>
    <col min="3074" max="3074" width="11.6640625" style="467" bestFit="1" customWidth="1"/>
    <col min="3075" max="3085" width="0" style="467" hidden="1" customWidth="1"/>
    <col min="3086" max="3086" width="14.88671875" style="467" customWidth="1"/>
    <col min="3087" max="3093" width="0" style="467" hidden="1" customWidth="1"/>
    <col min="3094" max="3328" width="9.21875" style="467"/>
    <col min="3329" max="3329" width="64.5546875" style="467" bestFit="1" customWidth="1"/>
    <col min="3330" max="3330" width="11.6640625" style="467" bestFit="1" customWidth="1"/>
    <col min="3331" max="3341" width="0" style="467" hidden="1" customWidth="1"/>
    <col min="3342" max="3342" width="14.88671875" style="467" customWidth="1"/>
    <col min="3343" max="3349" width="0" style="467" hidden="1" customWidth="1"/>
    <col min="3350" max="3584" width="9.21875" style="467"/>
    <col min="3585" max="3585" width="64.5546875" style="467" bestFit="1" customWidth="1"/>
    <col min="3586" max="3586" width="11.6640625" style="467" bestFit="1" customWidth="1"/>
    <col min="3587" max="3597" width="0" style="467" hidden="1" customWidth="1"/>
    <col min="3598" max="3598" width="14.88671875" style="467" customWidth="1"/>
    <col min="3599" max="3605" width="0" style="467" hidden="1" customWidth="1"/>
    <col min="3606" max="3840" width="9.21875" style="467"/>
    <col min="3841" max="3841" width="64.5546875" style="467" bestFit="1" customWidth="1"/>
    <col min="3842" max="3842" width="11.6640625" style="467" bestFit="1" customWidth="1"/>
    <col min="3843" max="3853" width="0" style="467" hidden="1" customWidth="1"/>
    <col min="3854" max="3854" width="14.88671875" style="467" customWidth="1"/>
    <col min="3855" max="3861" width="0" style="467" hidden="1" customWidth="1"/>
    <col min="3862" max="4096" width="9.21875" style="467"/>
    <col min="4097" max="4097" width="64.5546875" style="467" bestFit="1" customWidth="1"/>
    <col min="4098" max="4098" width="11.6640625" style="467" bestFit="1" customWidth="1"/>
    <col min="4099" max="4109" width="0" style="467" hidden="1" customWidth="1"/>
    <col min="4110" max="4110" width="14.88671875" style="467" customWidth="1"/>
    <col min="4111" max="4117" width="0" style="467" hidden="1" customWidth="1"/>
    <col min="4118" max="4352" width="9.21875" style="467"/>
    <col min="4353" max="4353" width="64.5546875" style="467" bestFit="1" customWidth="1"/>
    <col min="4354" max="4354" width="11.6640625" style="467" bestFit="1" customWidth="1"/>
    <col min="4355" max="4365" width="0" style="467" hidden="1" customWidth="1"/>
    <col min="4366" max="4366" width="14.88671875" style="467" customWidth="1"/>
    <col min="4367" max="4373" width="0" style="467" hidden="1" customWidth="1"/>
    <col min="4374" max="4608" width="9.21875" style="467"/>
    <col min="4609" max="4609" width="64.5546875" style="467" bestFit="1" customWidth="1"/>
    <col min="4610" max="4610" width="11.6640625" style="467" bestFit="1" customWidth="1"/>
    <col min="4611" max="4621" width="0" style="467" hidden="1" customWidth="1"/>
    <col min="4622" max="4622" width="14.88671875" style="467" customWidth="1"/>
    <col min="4623" max="4629" width="0" style="467" hidden="1" customWidth="1"/>
    <col min="4630" max="4864" width="9.21875" style="467"/>
    <col min="4865" max="4865" width="64.5546875" style="467" bestFit="1" customWidth="1"/>
    <col min="4866" max="4866" width="11.6640625" style="467" bestFit="1" customWidth="1"/>
    <col min="4867" max="4877" width="0" style="467" hidden="1" customWidth="1"/>
    <col min="4878" max="4878" width="14.88671875" style="467" customWidth="1"/>
    <col min="4879" max="4885" width="0" style="467" hidden="1" customWidth="1"/>
    <col min="4886" max="5120" width="9.21875" style="467"/>
    <col min="5121" max="5121" width="64.5546875" style="467" bestFit="1" customWidth="1"/>
    <col min="5122" max="5122" width="11.6640625" style="467" bestFit="1" customWidth="1"/>
    <col min="5123" max="5133" width="0" style="467" hidden="1" customWidth="1"/>
    <col min="5134" max="5134" width="14.88671875" style="467" customWidth="1"/>
    <col min="5135" max="5141" width="0" style="467" hidden="1" customWidth="1"/>
    <col min="5142" max="5376" width="9.21875" style="467"/>
    <col min="5377" max="5377" width="64.5546875" style="467" bestFit="1" customWidth="1"/>
    <col min="5378" max="5378" width="11.6640625" style="467" bestFit="1" customWidth="1"/>
    <col min="5379" max="5389" width="0" style="467" hidden="1" customWidth="1"/>
    <col min="5390" max="5390" width="14.88671875" style="467" customWidth="1"/>
    <col min="5391" max="5397" width="0" style="467" hidden="1" customWidth="1"/>
    <col min="5398" max="5632" width="9.21875" style="467"/>
    <col min="5633" max="5633" width="64.5546875" style="467" bestFit="1" customWidth="1"/>
    <col min="5634" max="5634" width="11.6640625" style="467" bestFit="1" customWidth="1"/>
    <col min="5635" max="5645" width="0" style="467" hidden="1" customWidth="1"/>
    <col min="5646" max="5646" width="14.88671875" style="467" customWidth="1"/>
    <col min="5647" max="5653" width="0" style="467" hidden="1" customWidth="1"/>
    <col min="5654" max="5888" width="9.21875" style="467"/>
    <col min="5889" max="5889" width="64.5546875" style="467" bestFit="1" customWidth="1"/>
    <col min="5890" max="5890" width="11.6640625" style="467" bestFit="1" customWidth="1"/>
    <col min="5891" max="5901" width="0" style="467" hidden="1" customWidth="1"/>
    <col min="5902" max="5902" width="14.88671875" style="467" customWidth="1"/>
    <col min="5903" max="5909" width="0" style="467" hidden="1" customWidth="1"/>
    <col min="5910" max="6144" width="9.21875" style="467"/>
    <col min="6145" max="6145" width="64.5546875" style="467" bestFit="1" customWidth="1"/>
    <col min="6146" max="6146" width="11.6640625" style="467" bestFit="1" customWidth="1"/>
    <col min="6147" max="6157" width="0" style="467" hidden="1" customWidth="1"/>
    <col min="6158" max="6158" width="14.88671875" style="467" customWidth="1"/>
    <col min="6159" max="6165" width="0" style="467" hidden="1" customWidth="1"/>
    <col min="6166" max="6400" width="9.21875" style="467"/>
    <col min="6401" max="6401" width="64.5546875" style="467" bestFit="1" customWidth="1"/>
    <col min="6402" max="6402" width="11.6640625" style="467" bestFit="1" customWidth="1"/>
    <col min="6403" max="6413" width="0" style="467" hidden="1" customWidth="1"/>
    <col min="6414" max="6414" width="14.88671875" style="467" customWidth="1"/>
    <col min="6415" max="6421" width="0" style="467" hidden="1" customWidth="1"/>
    <col min="6422" max="6656" width="9.21875" style="467"/>
    <col min="6657" max="6657" width="64.5546875" style="467" bestFit="1" customWidth="1"/>
    <col min="6658" max="6658" width="11.6640625" style="467" bestFit="1" customWidth="1"/>
    <col min="6659" max="6669" width="0" style="467" hidden="1" customWidth="1"/>
    <col min="6670" max="6670" width="14.88671875" style="467" customWidth="1"/>
    <col min="6671" max="6677" width="0" style="467" hidden="1" customWidth="1"/>
    <col min="6678" max="6912" width="9.21875" style="467"/>
    <col min="6913" max="6913" width="64.5546875" style="467" bestFit="1" customWidth="1"/>
    <col min="6914" max="6914" width="11.6640625" style="467" bestFit="1" customWidth="1"/>
    <col min="6915" max="6925" width="0" style="467" hidden="1" customWidth="1"/>
    <col min="6926" max="6926" width="14.88671875" style="467" customWidth="1"/>
    <col min="6927" max="6933" width="0" style="467" hidden="1" customWidth="1"/>
    <col min="6934" max="7168" width="9.21875" style="467"/>
    <col min="7169" max="7169" width="64.5546875" style="467" bestFit="1" customWidth="1"/>
    <col min="7170" max="7170" width="11.6640625" style="467" bestFit="1" customWidth="1"/>
    <col min="7171" max="7181" width="0" style="467" hidden="1" customWidth="1"/>
    <col min="7182" max="7182" width="14.88671875" style="467" customWidth="1"/>
    <col min="7183" max="7189" width="0" style="467" hidden="1" customWidth="1"/>
    <col min="7190" max="7424" width="9.21875" style="467"/>
    <col min="7425" max="7425" width="64.5546875" style="467" bestFit="1" customWidth="1"/>
    <col min="7426" max="7426" width="11.6640625" style="467" bestFit="1" customWidth="1"/>
    <col min="7427" max="7437" width="0" style="467" hidden="1" customWidth="1"/>
    <col min="7438" max="7438" width="14.88671875" style="467" customWidth="1"/>
    <col min="7439" max="7445" width="0" style="467" hidden="1" customWidth="1"/>
    <col min="7446" max="7680" width="9.21875" style="467"/>
    <col min="7681" max="7681" width="64.5546875" style="467" bestFit="1" customWidth="1"/>
    <col min="7682" max="7682" width="11.6640625" style="467" bestFit="1" customWidth="1"/>
    <col min="7683" max="7693" width="0" style="467" hidden="1" customWidth="1"/>
    <col min="7694" max="7694" width="14.88671875" style="467" customWidth="1"/>
    <col min="7695" max="7701" width="0" style="467" hidden="1" customWidth="1"/>
    <col min="7702" max="7936" width="9.21875" style="467"/>
    <col min="7937" max="7937" width="64.5546875" style="467" bestFit="1" customWidth="1"/>
    <col min="7938" max="7938" width="11.6640625" style="467" bestFit="1" customWidth="1"/>
    <col min="7939" max="7949" width="0" style="467" hidden="1" customWidth="1"/>
    <col min="7950" max="7950" width="14.88671875" style="467" customWidth="1"/>
    <col min="7951" max="7957" width="0" style="467" hidden="1" customWidth="1"/>
    <col min="7958" max="8192" width="9.21875" style="467"/>
    <col min="8193" max="8193" width="64.5546875" style="467" bestFit="1" customWidth="1"/>
    <col min="8194" max="8194" width="11.6640625" style="467" bestFit="1" customWidth="1"/>
    <col min="8195" max="8205" width="0" style="467" hidden="1" customWidth="1"/>
    <col min="8206" max="8206" width="14.88671875" style="467" customWidth="1"/>
    <col min="8207" max="8213" width="0" style="467" hidden="1" customWidth="1"/>
    <col min="8214" max="8448" width="9.21875" style="467"/>
    <col min="8449" max="8449" width="64.5546875" style="467" bestFit="1" customWidth="1"/>
    <col min="8450" max="8450" width="11.6640625" style="467" bestFit="1" customWidth="1"/>
    <col min="8451" max="8461" width="0" style="467" hidden="1" customWidth="1"/>
    <col min="8462" max="8462" width="14.88671875" style="467" customWidth="1"/>
    <col min="8463" max="8469" width="0" style="467" hidden="1" customWidth="1"/>
    <col min="8470" max="8704" width="9.21875" style="467"/>
    <col min="8705" max="8705" width="64.5546875" style="467" bestFit="1" customWidth="1"/>
    <col min="8706" max="8706" width="11.6640625" style="467" bestFit="1" customWidth="1"/>
    <col min="8707" max="8717" width="0" style="467" hidden="1" customWidth="1"/>
    <col min="8718" max="8718" width="14.88671875" style="467" customWidth="1"/>
    <col min="8719" max="8725" width="0" style="467" hidden="1" customWidth="1"/>
    <col min="8726" max="8960" width="9.21875" style="467"/>
    <col min="8961" max="8961" width="64.5546875" style="467" bestFit="1" customWidth="1"/>
    <col min="8962" max="8962" width="11.6640625" style="467" bestFit="1" customWidth="1"/>
    <col min="8963" max="8973" width="0" style="467" hidden="1" customWidth="1"/>
    <col min="8974" max="8974" width="14.88671875" style="467" customWidth="1"/>
    <col min="8975" max="8981" width="0" style="467" hidden="1" customWidth="1"/>
    <col min="8982" max="9216" width="9.21875" style="467"/>
    <col min="9217" max="9217" width="64.5546875" style="467" bestFit="1" customWidth="1"/>
    <col min="9218" max="9218" width="11.6640625" style="467" bestFit="1" customWidth="1"/>
    <col min="9219" max="9229" width="0" style="467" hidden="1" customWidth="1"/>
    <col min="9230" max="9230" width="14.88671875" style="467" customWidth="1"/>
    <col min="9231" max="9237" width="0" style="467" hidden="1" customWidth="1"/>
    <col min="9238" max="9472" width="9.21875" style="467"/>
    <col min="9473" max="9473" width="64.5546875" style="467" bestFit="1" customWidth="1"/>
    <col min="9474" max="9474" width="11.6640625" style="467" bestFit="1" customWidth="1"/>
    <col min="9475" max="9485" width="0" style="467" hidden="1" customWidth="1"/>
    <col min="9486" max="9486" width="14.88671875" style="467" customWidth="1"/>
    <col min="9487" max="9493" width="0" style="467" hidden="1" customWidth="1"/>
    <col min="9494" max="9728" width="9.21875" style="467"/>
    <col min="9729" max="9729" width="64.5546875" style="467" bestFit="1" customWidth="1"/>
    <col min="9730" max="9730" width="11.6640625" style="467" bestFit="1" customWidth="1"/>
    <col min="9731" max="9741" width="0" style="467" hidden="1" customWidth="1"/>
    <col min="9742" max="9742" width="14.88671875" style="467" customWidth="1"/>
    <col min="9743" max="9749" width="0" style="467" hidden="1" customWidth="1"/>
    <col min="9750" max="9984" width="9.21875" style="467"/>
    <col min="9985" max="9985" width="64.5546875" style="467" bestFit="1" customWidth="1"/>
    <col min="9986" max="9986" width="11.6640625" style="467" bestFit="1" customWidth="1"/>
    <col min="9987" max="9997" width="0" style="467" hidden="1" customWidth="1"/>
    <col min="9998" max="9998" width="14.88671875" style="467" customWidth="1"/>
    <col min="9999" max="10005" width="0" style="467" hidden="1" customWidth="1"/>
    <col min="10006" max="10240" width="9.21875" style="467"/>
    <col min="10241" max="10241" width="64.5546875" style="467" bestFit="1" customWidth="1"/>
    <col min="10242" max="10242" width="11.6640625" style="467" bestFit="1" customWidth="1"/>
    <col min="10243" max="10253" width="0" style="467" hidden="1" customWidth="1"/>
    <col min="10254" max="10254" width="14.88671875" style="467" customWidth="1"/>
    <col min="10255" max="10261" width="0" style="467" hidden="1" customWidth="1"/>
    <col min="10262" max="10496" width="9.21875" style="467"/>
    <col min="10497" max="10497" width="64.5546875" style="467" bestFit="1" customWidth="1"/>
    <col min="10498" max="10498" width="11.6640625" style="467" bestFit="1" customWidth="1"/>
    <col min="10499" max="10509" width="0" style="467" hidden="1" customWidth="1"/>
    <col min="10510" max="10510" width="14.88671875" style="467" customWidth="1"/>
    <col min="10511" max="10517" width="0" style="467" hidden="1" customWidth="1"/>
    <col min="10518" max="10752" width="9.21875" style="467"/>
    <col min="10753" max="10753" width="64.5546875" style="467" bestFit="1" customWidth="1"/>
    <col min="10754" max="10754" width="11.6640625" style="467" bestFit="1" customWidth="1"/>
    <col min="10755" max="10765" width="0" style="467" hidden="1" customWidth="1"/>
    <col min="10766" max="10766" width="14.88671875" style="467" customWidth="1"/>
    <col min="10767" max="10773" width="0" style="467" hidden="1" customWidth="1"/>
    <col min="10774" max="11008" width="9.21875" style="467"/>
    <col min="11009" max="11009" width="64.5546875" style="467" bestFit="1" customWidth="1"/>
    <col min="11010" max="11010" width="11.6640625" style="467" bestFit="1" customWidth="1"/>
    <col min="11011" max="11021" width="0" style="467" hidden="1" customWidth="1"/>
    <col min="11022" max="11022" width="14.88671875" style="467" customWidth="1"/>
    <col min="11023" max="11029" width="0" style="467" hidden="1" customWidth="1"/>
    <col min="11030" max="11264" width="9.21875" style="467"/>
    <col min="11265" max="11265" width="64.5546875" style="467" bestFit="1" customWidth="1"/>
    <col min="11266" max="11266" width="11.6640625" style="467" bestFit="1" customWidth="1"/>
    <col min="11267" max="11277" width="0" style="467" hidden="1" customWidth="1"/>
    <col min="11278" max="11278" width="14.88671875" style="467" customWidth="1"/>
    <col min="11279" max="11285" width="0" style="467" hidden="1" customWidth="1"/>
    <col min="11286" max="11520" width="9.21875" style="467"/>
    <col min="11521" max="11521" width="64.5546875" style="467" bestFit="1" customWidth="1"/>
    <col min="11522" max="11522" width="11.6640625" style="467" bestFit="1" customWidth="1"/>
    <col min="11523" max="11533" width="0" style="467" hidden="1" customWidth="1"/>
    <col min="11534" max="11534" width="14.88671875" style="467" customWidth="1"/>
    <col min="11535" max="11541" width="0" style="467" hidden="1" customWidth="1"/>
    <col min="11542" max="11776" width="9.21875" style="467"/>
    <col min="11777" max="11777" width="64.5546875" style="467" bestFit="1" customWidth="1"/>
    <col min="11778" max="11778" width="11.6640625" style="467" bestFit="1" customWidth="1"/>
    <col min="11779" max="11789" width="0" style="467" hidden="1" customWidth="1"/>
    <col min="11790" max="11790" width="14.88671875" style="467" customWidth="1"/>
    <col min="11791" max="11797" width="0" style="467" hidden="1" customWidth="1"/>
    <col min="11798" max="12032" width="9.21875" style="467"/>
    <col min="12033" max="12033" width="64.5546875" style="467" bestFit="1" customWidth="1"/>
    <col min="12034" max="12034" width="11.6640625" style="467" bestFit="1" customWidth="1"/>
    <col min="12035" max="12045" width="0" style="467" hidden="1" customWidth="1"/>
    <col min="12046" max="12046" width="14.88671875" style="467" customWidth="1"/>
    <col min="12047" max="12053" width="0" style="467" hidden="1" customWidth="1"/>
    <col min="12054" max="12288" width="9.21875" style="467"/>
    <col min="12289" max="12289" width="64.5546875" style="467" bestFit="1" customWidth="1"/>
    <col min="12290" max="12290" width="11.6640625" style="467" bestFit="1" customWidth="1"/>
    <col min="12291" max="12301" width="0" style="467" hidden="1" customWidth="1"/>
    <col min="12302" max="12302" width="14.88671875" style="467" customWidth="1"/>
    <col min="12303" max="12309" width="0" style="467" hidden="1" customWidth="1"/>
    <col min="12310" max="12544" width="9.21875" style="467"/>
    <col min="12545" max="12545" width="64.5546875" style="467" bestFit="1" customWidth="1"/>
    <col min="12546" max="12546" width="11.6640625" style="467" bestFit="1" customWidth="1"/>
    <col min="12547" max="12557" width="0" style="467" hidden="1" customWidth="1"/>
    <col min="12558" max="12558" width="14.88671875" style="467" customWidth="1"/>
    <col min="12559" max="12565" width="0" style="467" hidden="1" customWidth="1"/>
    <col min="12566" max="12800" width="9.21875" style="467"/>
    <col min="12801" max="12801" width="64.5546875" style="467" bestFit="1" customWidth="1"/>
    <col min="12802" max="12802" width="11.6640625" style="467" bestFit="1" customWidth="1"/>
    <col min="12803" max="12813" width="0" style="467" hidden="1" customWidth="1"/>
    <col min="12814" max="12814" width="14.88671875" style="467" customWidth="1"/>
    <col min="12815" max="12821" width="0" style="467" hidden="1" customWidth="1"/>
    <col min="12822" max="13056" width="9.21875" style="467"/>
    <col min="13057" max="13057" width="64.5546875" style="467" bestFit="1" customWidth="1"/>
    <col min="13058" max="13058" width="11.6640625" style="467" bestFit="1" customWidth="1"/>
    <col min="13059" max="13069" width="0" style="467" hidden="1" customWidth="1"/>
    <col min="13070" max="13070" width="14.88671875" style="467" customWidth="1"/>
    <col min="13071" max="13077" width="0" style="467" hidden="1" customWidth="1"/>
    <col min="13078" max="13312" width="9.21875" style="467"/>
    <col min="13313" max="13313" width="64.5546875" style="467" bestFit="1" customWidth="1"/>
    <col min="13314" max="13314" width="11.6640625" style="467" bestFit="1" customWidth="1"/>
    <col min="13315" max="13325" width="0" style="467" hidden="1" customWidth="1"/>
    <col min="13326" max="13326" width="14.88671875" style="467" customWidth="1"/>
    <col min="13327" max="13333" width="0" style="467" hidden="1" customWidth="1"/>
    <col min="13334" max="13568" width="9.21875" style="467"/>
    <col min="13569" max="13569" width="64.5546875" style="467" bestFit="1" customWidth="1"/>
    <col min="13570" max="13570" width="11.6640625" style="467" bestFit="1" customWidth="1"/>
    <col min="13571" max="13581" width="0" style="467" hidden="1" customWidth="1"/>
    <col min="13582" max="13582" width="14.88671875" style="467" customWidth="1"/>
    <col min="13583" max="13589" width="0" style="467" hidden="1" customWidth="1"/>
    <col min="13590" max="13824" width="9.21875" style="467"/>
    <col min="13825" max="13825" width="64.5546875" style="467" bestFit="1" customWidth="1"/>
    <col min="13826" max="13826" width="11.6640625" style="467" bestFit="1" customWidth="1"/>
    <col min="13827" max="13837" width="0" style="467" hidden="1" customWidth="1"/>
    <col min="13838" max="13838" width="14.88671875" style="467" customWidth="1"/>
    <col min="13839" max="13845" width="0" style="467" hidden="1" customWidth="1"/>
    <col min="13846" max="14080" width="9.21875" style="467"/>
    <col min="14081" max="14081" width="64.5546875" style="467" bestFit="1" customWidth="1"/>
    <col min="14082" max="14082" width="11.6640625" style="467" bestFit="1" customWidth="1"/>
    <col min="14083" max="14093" width="0" style="467" hidden="1" customWidth="1"/>
    <col min="14094" max="14094" width="14.88671875" style="467" customWidth="1"/>
    <col min="14095" max="14101" width="0" style="467" hidden="1" customWidth="1"/>
    <col min="14102" max="14336" width="9.21875" style="467"/>
    <col min="14337" max="14337" width="64.5546875" style="467" bestFit="1" customWidth="1"/>
    <col min="14338" max="14338" width="11.6640625" style="467" bestFit="1" customWidth="1"/>
    <col min="14339" max="14349" width="0" style="467" hidden="1" customWidth="1"/>
    <col min="14350" max="14350" width="14.88671875" style="467" customWidth="1"/>
    <col min="14351" max="14357" width="0" style="467" hidden="1" customWidth="1"/>
    <col min="14358" max="14592" width="9.21875" style="467"/>
    <col min="14593" max="14593" width="64.5546875" style="467" bestFit="1" customWidth="1"/>
    <col min="14594" max="14594" width="11.6640625" style="467" bestFit="1" customWidth="1"/>
    <col min="14595" max="14605" width="0" style="467" hidden="1" customWidth="1"/>
    <col min="14606" max="14606" width="14.88671875" style="467" customWidth="1"/>
    <col min="14607" max="14613" width="0" style="467" hidden="1" customWidth="1"/>
    <col min="14614" max="14848" width="9.21875" style="467"/>
    <col min="14849" max="14849" width="64.5546875" style="467" bestFit="1" customWidth="1"/>
    <col min="14850" max="14850" width="11.6640625" style="467" bestFit="1" customWidth="1"/>
    <col min="14851" max="14861" width="0" style="467" hidden="1" customWidth="1"/>
    <col min="14862" max="14862" width="14.88671875" style="467" customWidth="1"/>
    <col min="14863" max="14869" width="0" style="467" hidden="1" customWidth="1"/>
    <col min="14870" max="15104" width="9.21875" style="467"/>
    <col min="15105" max="15105" width="64.5546875" style="467" bestFit="1" customWidth="1"/>
    <col min="15106" max="15106" width="11.6640625" style="467" bestFit="1" customWidth="1"/>
    <col min="15107" max="15117" width="0" style="467" hidden="1" customWidth="1"/>
    <col min="15118" max="15118" width="14.88671875" style="467" customWidth="1"/>
    <col min="15119" max="15125" width="0" style="467" hidden="1" customWidth="1"/>
    <col min="15126" max="15360" width="9.21875" style="467"/>
    <col min="15361" max="15361" width="64.5546875" style="467" bestFit="1" customWidth="1"/>
    <col min="15362" max="15362" width="11.6640625" style="467" bestFit="1" customWidth="1"/>
    <col min="15363" max="15373" width="0" style="467" hidden="1" customWidth="1"/>
    <col min="15374" max="15374" width="14.88671875" style="467" customWidth="1"/>
    <col min="15375" max="15381" width="0" style="467" hidden="1" customWidth="1"/>
    <col min="15382" max="15616" width="9.21875" style="467"/>
    <col min="15617" max="15617" width="64.5546875" style="467" bestFit="1" customWidth="1"/>
    <col min="15618" max="15618" width="11.6640625" style="467" bestFit="1" customWidth="1"/>
    <col min="15619" max="15629" width="0" style="467" hidden="1" customWidth="1"/>
    <col min="15630" max="15630" width="14.88671875" style="467" customWidth="1"/>
    <col min="15631" max="15637" width="0" style="467" hidden="1" customWidth="1"/>
    <col min="15638" max="15872" width="9.21875" style="467"/>
    <col min="15873" max="15873" width="64.5546875" style="467" bestFit="1" customWidth="1"/>
    <col min="15874" max="15874" width="11.6640625" style="467" bestFit="1" customWidth="1"/>
    <col min="15875" max="15885" width="0" style="467" hidden="1" customWidth="1"/>
    <col min="15886" max="15886" width="14.88671875" style="467" customWidth="1"/>
    <col min="15887" max="15893" width="0" style="467" hidden="1" customWidth="1"/>
    <col min="15894" max="16128" width="9.21875" style="467"/>
    <col min="16129" max="16129" width="64.5546875" style="467" bestFit="1" customWidth="1"/>
    <col min="16130" max="16130" width="11.6640625" style="467" bestFit="1" customWidth="1"/>
    <col min="16131" max="16141" width="0" style="467" hidden="1" customWidth="1"/>
    <col min="16142" max="16142" width="14.88671875" style="467" customWidth="1"/>
    <col min="16143" max="16149" width="0" style="467" hidden="1" customWidth="1"/>
    <col min="16150" max="16384" width="9.21875" style="467"/>
  </cols>
  <sheetData>
    <row r="1" spans="1:19" s="459" customFormat="1" ht="16.2">
      <c r="A1" s="573" t="s">
        <v>303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Q1" s="460"/>
      <c r="R1" s="461"/>
      <c r="S1" s="462"/>
    </row>
    <row r="2" spans="1:19" s="459" customFormat="1" ht="15.6">
      <c r="A2" s="575" t="s">
        <v>304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Q2" s="463"/>
      <c r="R2" s="464"/>
      <c r="S2" s="462"/>
    </row>
    <row r="3" spans="1:19" s="459" customFormat="1" ht="15.6">
      <c r="A3" s="577" t="str">
        <f>R4</f>
        <v>May 2017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Q3" s="463"/>
      <c r="R3" s="464"/>
      <c r="S3" s="462"/>
    </row>
    <row r="4" spans="1:19" s="459" customFormat="1">
      <c r="A4" s="465"/>
      <c r="B4" s="465"/>
      <c r="C4" s="465"/>
      <c r="D4" s="465"/>
      <c r="E4" s="465"/>
      <c r="F4" s="465"/>
      <c r="G4" s="465"/>
      <c r="H4" s="446"/>
      <c r="I4" s="446"/>
      <c r="J4" s="446"/>
      <c r="K4" s="446"/>
      <c r="L4" s="446"/>
      <c r="M4" s="446"/>
      <c r="N4" s="446"/>
      <c r="Q4" s="463" t="s">
        <v>400</v>
      </c>
      <c r="R4" s="464" t="str">
        <f>TEXT(S4,"mmmm yyyy")</f>
        <v>May 2017</v>
      </c>
      <c r="S4" s="466">
        <v>42886</v>
      </c>
    </row>
    <row r="5" spans="1:19">
      <c r="A5" s="465"/>
      <c r="B5" s="465"/>
      <c r="C5" s="465"/>
      <c r="D5" s="465"/>
      <c r="E5" s="465"/>
      <c r="F5" s="465"/>
      <c r="G5" s="465"/>
      <c r="H5" s="454"/>
      <c r="I5" s="454"/>
      <c r="J5" s="454"/>
      <c r="K5" s="465"/>
      <c r="L5" s="465"/>
      <c r="M5" s="465"/>
      <c r="N5" s="465"/>
      <c r="Q5" s="463" t="s">
        <v>407</v>
      </c>
      <c r="R5" s="464" t="str">
        <f>S5</f>
        <v>.</v>
      </c>
      <c r="S5" s="462" t="s">
        <v>402</v>
      </c>
    </row>
    <row r="6" spans="1:19" ht="15.6">
      <c r="A6" s="10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63" t="s">
        <v>403</v>
      </c>
      <c r="R6" s="464" t="str">
        <f>S6</f>
        <v>2017</v>
      </c>
      <c r="S6" s="462" t="s">
        <v>404</v>
      </c>
    </row>
    <row r="7" spans="1:19" ht="16.2" thickBot="1">
      <c r="A7" s="107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Q7" s="463" t="s">
        <v>405</v>
      </c>
      <c r="R7" s="464" t="str">
        <f>TEXT(S7,"mmmm-dd-yyyy")</f>
        <v>May-31-2017</v>
      </c>
      <c r="S7" s="466">
        <f>S4</f>
        <v>42886</v>
      </c>
    </row>
    <row r="8" spans="1:19" ht="16.2" thickTop="1">
      <c r="A8" s="107"/>
      <c r="B8" s="107"/>
      <c r="C8" s="107"/>
      <c r="D8" s="107"/>
      <c r="E8" s="107"/>
      <c r="F8" s="107"/>
      <c r="G8" s="107"/>
      <c r="H8" s="101"/>
      <c r="I8" s="101"/>
      <c r="J8" s="101"/>
      <c r="K8" s="107"/>
      <c r="L8" s="107"/>
      <c r="M8" s="107"/>
      <c r="N8" s="107"/>
      <c r="Q8" s="463" t="s">
        <v>405</v>
      </c>
      <c r="R8" s="464" t="str">
        <f>TEXT(S8,"mm/dd/yy")</f>
        <v>05/31/17</v>
      </c>
      <c r="S8" s="466">
        <f>S4</f>
        <v>42886</v>
      </c>
    </row>
    <row r="9" spans="1:19" ht="16.2" thickBot="1">
      <c r="A9" s="533" t="s">
        <v>301</v>
      </c>
      <c r="B9" s="112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468">
        <f>+M33</f>
        <v>0</v>
      </c>
      <c r="Q9" s="463" t="s">
        <v>403</v>
      </c>
      <c r="R9" s="464">
        <f>S9</f>
        <v>17</v>
      </c>
      <c r="S9" s="462">
        <v>17</v>
      </c>
    </row>
    <row r="10" spans="1:19" ht="15.6">
      <c r="A10" s="107"/>
      <c r="B10" s="107"/>
      <c r="C10" s="107"/>
      <c r="D10" s="107"/>
      <c r="E10" s="107"/>
      <c r="F10" s="107"/>
      <c r="G10" s="107"/>
      <c r="H10" s="101"/>
      <c r="I10" s="101"/>
      <c r="J10" s="101"/>
      <c r="K10" s="107"/>
      <c r="L10" s="107"/>
      <c r="M10" s="107"/>
      <c r="N10" s="107"/>
      <c r="Q10" s="522" t="s">
        <v>406</v>
      </c>
      <c r="R10" s="523" t="str">
        <f>"0"&amp;S10</f>
        <v>016</v>
      </c>
      <c r="S10" s="462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01"/>
      <c r="I11" s="101"/>
      <c r="J11" s="101"/>
      <c r="K11" s="107"/>
      <c r="L11" s="107"/>
      <c r="M11" s="107"/>
      <c r="N11" s="107"/>
    </row>
    <row r="12" spans="1:19" ht="15.6">
      <c r="A12" s="107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7"/>
    </row>
    <row r="13" spans="1:19" ht="15.6">
      <c r="A13" s="107" t="s">
        <v>305</v>
      </c>
      <c r="B13" s="107">
        <v>951.59</v>
      </c>
      <c r="C13" s="107">
        <v>3058.69</v>
      </c>
      <c r="D13" s="107">
        <v>985472.71</v>
      </c>
      <c r="E13" s="107">
        <v>18023.12</v>
      </c>
      <c r="F13" s="107">
        <v>509.7</v>
      </c>
      <c r="G13" s="107">
        <v>132020.18</v>
      </c>
      <c r="H13" s="107">
        <v>886207.24</v>
      </c>
      <c r="I13" s="107">
        <v>6202.22</v>
      </c>
      <c r="J13" s="107">
        <v>1104069.75</v>
      </c>
      <c r="K13" s="107"/>
      <c r="L13" s="107"/>
      <c r="M13" s="107"/>
      <c r="N13" s="107">
        <f>ROUND(SUM(B13:M13),0)</f>
        <v>3136515</v>
      </c>
    </row>
    <row r="14" spans="1:19" ht="15.6">
      <c r="A14" s="110" t="s">
        <v>299</v>
      </c>
      <c r="B14" s="107">
        <v>8683.19</v>
      </c>
      <c r="C14" s="107">
        <v>8833.75</v>
      </c>
      <c r="D14" s="107">
        <v>9553.48</v>
      </c>
      <c r="E14" s="107">
        <v>8772.65</v>
      </c>
      <c r="F14" s="107">
        <v>9805.52</v>
      </c>
      <c r="G14" s="107">
        <v>10117.17</v>
      </c>
      <c r="H14" s="107">
        <v>7573.22</v>
      </c>
      <c r="I14" s="107">
        <v>7405.53</v>
      </c>
      <c r="J14" s="107">
        <v>7662.61</v>
      </c>
      <c r="K14" s="107"/>
      <c r="L14" s="107"/>
      <c r="M14" s="107"/>
      <c r="N14" s="107">
        <f>SUM(B14:M14)</f>
        <v>78407.12</v>
      </c>
    </row>
    <row r="15" spans="1:19" ht="15.6">
      <c r="A15" s="114" t="s">
        <v>306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/>
      <c r="I15" s="107"/>
      <c r="J15" s="107"/>
      <c r="K15" s="107"/>
      <c r="L15" s="107"/>
      <c r="M15" s="107"/>
      <c r="N15" s="107">
        <f>SUM(B15:M15)</f>
        <v>0</v>
      </c>
    </row>
    <row r="16" spans="1:19" ht="15.6">
      <c r="A16" s="107" t="s">
        <v>307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/>
      <c r="I16" s="107"/>
      <c r="J16" s="107"/>
      <c r="K16" s="107"/>
      <c r="L16" s="107"/>
      <c r="M16" s="107"/>
      <c r="N16" s="107">
        <f>SUM(B16:M16)</f>
        <v>0</v>
      </c>
    </row>
    <row r="17" spans="1:15" ht="15.6">
      <c r="A17" s="107" t="s">
        <v>395</v>
      </c>
      <c r="B17" s="107">
        <v>0</v>
      </c>
      <c r="C17" s="107">
        <v>0</v>
      </c>
      <c r="D17" s="107">
        <v>0</v>
      </c>
      <c r="E17" s="107">
        <v>11410309.189999999</v>
      </c>
      <c r="F17" s="107">
        <v>0</v>
      </c>
      <c r="G17" s="107">
        <v>0</v>
      </c>
      <c r="H17" s="101">
        <v>0</v>
      </c>
      <c r="I17" s="101">
        <v>0</v>
      </c>
      <c r="J17" s="101">
        <v>0</v>
      </c>
      <c r="K17" s="107"/>
      <c r="L17" s="107"/>
      <c r="M17" s="107"/>
      <c r="N17" s="107">
        <f>SUM(B17:M17)</f>
        <v>11410309.189999999</v>
      </c>
    </row>
    <row r="18" spans="1:15" ht="15.6">
      <c r="A18" s="107"/>
      <c r="B18" s="107"/>
      <c r="C18" s="107"/>
      <c r="D18" s="107"/>
      <c r="E18" s="107"/>
      <c r="F18" s="107"/>
      <c r="G18" s="107"/>
      <c r="H18" s="101"/>
      <c r="I18" s="101"/>
      <c r="J18" s="101"/>
      <c r="K18" s="107"/>
      <c r="L18" s="107"/>
      <c r="M18" s="107"/>
      <c r="N18" s="107"/>
    </row>
    <row r="19" spans="1:15" ht="15.6">
      <c r="A19" s="115" t="s">
        <v>308</v>
      </c>
      <c r="B19" s="107"/>
      <c r="C19" s="107"/>
      <c r="D19" s="107"/>
      <c r="E19" s="107"/>
      <c r="F19" s="107"/>
      <c r="G19" s="107"/>
      <c r="H19" s="101"/>
      <c r="I19" s="101"/>
      <c r="J19" s="101"/>
      <c r="K19" s="107"/>
      <c r="L19" s="107"/>
      <c r="M19" s="107"/>
      <c r="N19" s="107"/>
    </row>
    <row r="20" spans="1:15" ht="15.6">
      <c r="A20" s="107"/>
      <c r="B20" s="107"/>
      <c r="C20" s="107"/>
      <c r="D20" s="107"/>
      <c r="E20" s="107"/>
      <c r="F20" s="107"/>
      <c r="G20" s="107"/>
      <c r="H20" s="101"/>
      <c r="I20" s="101"/>
      <c r="J20" s="101"/>
      <c r="K20" s="107"/>
      <c r="L20" s="107"/>
      <c r="M20" s="107"/>
      <c r="N20" s="107"/>
    </row>
    <row r="21" spans="1:15" ht="15.6">
      <c r="A21" s="107"/>
      <c r="B21" s="107"/>
      <c r="C21" s="107"/>
      <c r="D21" s="107"/>
      <c r="E21" s="107"/>
      <c r="F21" s="107"/>
      <c r="G21" s="107"/>
      <c r="H21" s="101"/>
      <c r="I21" s="101"/>
      <c r="J21" s="101"/>
      <c r="K21" s="107"/>
      <c r="L21" s="107"/>
      <c r="M21" s="107"/>
      <c r="N21" s="107"/>
    </row>
    <row r="22" spans="1:15" ht="15.6">
      <c r="A22" s="107"/>
      <c r="B22" s="107"/>
      <c r="C22" s="107"/>
      <c r="D22" s="107"/>
      <c r="E22" s="107"/>
      <c r="F22" s="107"/>
      <c r="G22" s="107"/>
      <c r="H22" s="101"/>
      <c r="I22" s="101"/>
      <c r="J22" s="101"/>
      <c r="K22" s="107"/>
      <c r="L22" s="107"/>
      <c r="M22" s="107"/>
      <c r="N22" s="107"/>
    </row>
    <row r="23" spans="1:15" ht="15.6">
      <c r="A23" s="108" t="s">
        <v>295</v>
      </c>
      <c r="B23" s="116">
        <f t="shared" ref="B23" si="1">ROUND(SUM(B9:B16),0)</f>
        <v>9635</v>
      </c>
      <c r="C23" s="116">
        <f>ROUND(SUM(C9:C16),0)</f>
        <v>11892</v>
      </c>
      <c r="D23" s="116">
        <f>ROUND(SUM(D9:D16),0)</f>
        <v>995026</v>
      </c>
      <c r="E23" s="116">
        <f>ROUND(SUM(E9:E22),0)</f>
        <v>11437105</v>
      </c>
      <c r="F23" s="116">
        <f t="shared" ref="F23:M23" si="2">ROUND(SUM(F9:F22),0)</f>
        <v>10315</v>
      </c>
      <c r="G23" s="116">
        <f t="shared" si="2"/>
        <v>142137</v>
      </c>
      <c r="H23" s="116">
        <f t="shared" si="2"/>
        <v>893780</v>
      </c>
      <c r="I23" s="116">
        <f t="shared" si="2"/>
        <v>13608</v>
      </c>
      <c r="J23" s="116">
        <f t="shared" si="2"/>
        <v>1111732</v>
      </c>
      <c r="K23" s="116">
        <f t="shared" si="2"/>
        <v>0</v>
      </c>
      <c r="L23" s="116">
        <f t="shared" si="2"/>
        <v>0</v>
      </c>
      <c r="M23" s="116">
        <f t="shared" si="2"/>
        <v>0</v>
      </c>
      <c r="N23" s="116">
        <f>ROUND(SUM(N9:N22),0)</f>
        <v>14625231</v>
      </c>
      <c r="O23" s="469"/>
    </row>
    <row r="24" spans="1:15" ht="15.6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5" ht="15.6">
      <c r="A25" s="106" t="s">
        <v>294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5" ht="15.6">
      <c r="A26" s="11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5" ht="15.6">
      <c r="A27" s="118" t="s">
        <v>309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>
        <f>SUM(B27:M27)</f>
        <v>0</v>
      </c>
    </row>
    <row r="28" spans="1:15" ht="15.6">
      <c r="A28" s="107" t="s">
        <v>310</v>
      </c>
      <c r="B28" s="107">
        <v>0</v>
      </c>
      <c r="C28" s="107">
        <v>-21527</v>
      </c>
      <c r="D28" s="107">
        <v>-995026</v>
      </c>
      <c r="E28" s="107">
        <v>-4669148</v>
      </c>
      <c r="F28" s="107"/>
      <c r="G28" s="107"/>
      <c r="H28" s="107"/>
      <c r="I28" s="107"/>
      <c r="J28" s="107"/>
      <c r="K28" s="107"/>
      <c r="L28" s="107"/>
      <c r="M28" s="107"/>
      <c r="N28" s="107">
        <f>SUM(B28:M28)</f>
        <v>-5685701</v>
      </c>
    </row>
    <row r="29" spans="1:15" ht="15.6">
      <c r="A29" s="11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5" ht="15.6">
      <c r="A30" s="115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5" ht="15.6">
      <c r="A31" s="106" t="s">
        <v>292</v>
      </c>
      <c r="B31" s="116">
        <f t="shared" ref="B31:M31" si="3">SUM(B26:B28)</f>
        <v>0</v>
      </c>
      <c r="C31" s="116">
        <f>SUM(C26:C28)</f>
        <v>-21527</v>
      </c>
      <c r="D31" s="116">
        <f t="shared" si="3"/>
        <v>-995026</v>
      </c>
      <c r="E31" s="116">
        <f t="shared" si="3"/>
        <v>-4669148</v>
      </c>
      <c r="F31" s="116">
        <f t="shared" si="3"/>
        <v>0</v>
      </c>
      <c r="G31" s="116">
        <f t="shared" si="3"/>
        <v>0</v>
      </c>
      <c r="H31" s="116">
        <f t="shared" si="3"/>
        <v>0</v>
      </c>
      <c r="I31" s="116">
        <f t="shared" si="3"/>
        <v>0</v>
      </c>
      <c r="J31" s="116">
        <f t="shared" si="3"/>
        <v>0</v>
      </c>
      <c r="K31" s="116">
        <f t="shared" si="3"/>
        <v>0</v>
      </c>
      <c r="L31" s="116">
        <f t="shared" si="3"/>
        <v>0</v>
      </c>
      <c r="M31" s="116">
        <f t="shared" si="3"/>
        <v>0</v>
      </c>
      <c r="N31" s="116">
        <f>SUM(N25:N30)</f>
        <v>-5685701</v>
      </c>
    </row>
    <row r="32" spans="1:15" ht="15.6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6.2" thickBot="1">
      <c r="A33" s="548" t="s">
        <v>291</v>
      </c>
      <c r="B33" s="549">
        <f t="shared" ref="B33" si="4">+B9+B23+B31</f>
        <v>9635</v>
      </c>
      <c r="C33" s="549">
        <f>+C23+C31</f>
        <v>-9635</v>
      </c>
      <c r="D33" s="549">
        <f t="shared" ref="D33:M33" si="5">+D23+D31</f>
        <v>0</v>
      </c>
      <c r="E33" s="549">
        <f>+E23+E31</f>
        <v>6767957</v>
      </c>
      <c r="F33" s="549">
        <f t="shared" si="5"/>
        <v>10315</v>
      </c>
      <c r="G33" s="549">
        <f t="shared" si="5"/>
        <v>142137</v>
      </c>
      <c r="H33" s="549">
        <f t="shared" si="5"/>
        <v>893780</v>
      </c>
      <c r="I33" s="549">
        <f t="shared" si="5"/>
        <v>13608</v>
      </c>
      <c r="J33" s="549">
        <f t="shared" si="5"/>
        <v>1111732</v>
      </c>
      <c r="K33" s="549">
        <f t="shared" si="5"/>
        <v>0</v>
      </c>
      <c r="L33" s="549">
        <f t="shared" si="5"/>
        <v>0</v>
      </c>
      <c r="M33" s="549">
        <f t="shared" si="5"/>
        <v>0</v>
      </c>
      <c r="N33" s="549">
        <f>N23+N31</f>
        <v>8939530</v>
      </c>
    </row>
    <row r="34" spans="1:14" ht="16.2" thickTop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.6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</row>
    <row r="37" spans="1:14" ht="15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</row>
    <row r="38" spans="1:14" ht="15">
      <c r="A38" s="470"/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</row>
    <row r="39" spans="1:14" ht="15">
      <c r="A39" s="470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</row>
    <row r="40" spans="1:14" ht="15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</row>
    <row r="41" spans="1:14" ht="15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</row>
    <row r="42" spans="1:14" ht="15">
      <c r="A42" s="470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</row>
    <row r="43" spans="1:14" ht="15">
      <c r="A43" s="470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</row>
    <row r="44" spans="1:14" ht="15">
      <c r="A44" s="470"/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</row>
    <row r="45" spans="1:14" ht="15">
      <c r="A45" s="470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</row>
    <row r="46" spans="1:14" ht="15">
      <c r="A46" s="470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</row>
    <row r="47" spans="1:14" ht="15">
      <c r="A47" s="470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</row>
    <row r="48" spans="1:14" ht="15">
      <c r="A48" s="470"/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</row>
    <row r="49" spans="1:14" ht="15">
      <c r="A49" s="470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</row>
    <row r="50" spans="1:14" ht="15">
      <c r="A50" s="470"/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</row>
    <row r="51" spans="1:14" ht="15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36"/>
  <sheetViews>
    <sheetView topLeftCell="A10" zoomScale="85" zoomScaleNormal="85" zoomScaleSheetLayoutView="85" workbookViewId="0">
      <selection activeCell="A29" sqref="A29"/>
    </sheetView>
  </sheetViews>
  <sheetFormatPr defaultColWidth="9.21875" defaultRowHeight="13.2"/>
  <cols>
    <col min="1" max="1" width="92.88671875" style="454" customWidth="1"/>
    <col min="2" max="2" width="11.44140625" style="454" hidden="1" customWidth="1"/>
    <col min="3" max="3" width="12" style="454" hidden="1" customWidth="1"/>
    <col min="4" max="4" width="12.21875" style="454" hidden="1" customWidth="1"/>
    <col min="5" max="5" width="13.44140625" style="454" hidden="1" customWidth="1"/>
    <col min="6" max="6" width="12" style="454" hidden="1" customWidth="1"/>
    <col min="7" max="7" width="13.44140625" style="454" hidden="1" customWidth="1"/>
    <col min="8" max="8" width="12.5546875" style="454" hidden="1" customWidth="1"/>
    <col min="9" max="9" width="12.21875" style="454" hidden="1" customWidth="1"/>
    <col min="10" max="10" width="12.6640625" style="454" customWidth="1"/>
    <col min="11" max="11" width="12.21875" style="454" hidden="1" customWidth="1"/>
    <col min="12" max="12" width="11.5546875" style="454" hidden="1" customWidth="1"/>
    <col min="13" max="13" width="12.5546875" style="454" hidden="1" customWidth="1"/>
    <col min="14" max="14" width="17.21875" style="454" bestFit="1" customWidth="1"/>
    <col min="15" max="16" width="17.44140625" style="454" customWidth="1"/>
    <col min="17" max="17" width="18.6640625" style="454" hidden="1" customWidth="1"/>
    <col min="18" max="18" width="16.44140625" style="454" hidden="1" customWidth="1"/>
    <col min="19" max="19" width="10.44140625" style="454" hidden="1" customWidth="1"/>
    <col min="20" max="23" width="17.44140625" style="454" customWidth="1"/>
    <col min="24" max="24" width="9.21875" style="454" customWidth="1"/>
    <col min="25" max="256" width="9.21875" style="454"/>
    <col min="257" max="257" width="66.44140625" style="454" bestFit="1" customWidth="1"/>
    <col min="258" max="258" width="9.6640625" style="454" bestFit="1" customWidth="1"/>
    <col min="259" max="269" width="0" style="454" hidden="1" customWidth="1"/>
    <col min="270" max="270" width="14.88671875" style="454" bestFit="1" customWidth="1"/>
    <col min="271" max="275" width="0" style="454" hidden="1" customWidth="1"/>
    <col min="276" max="279" width="17.44140625" style="454" customWidth="1"/>
    <col min="280" max="512" width="9.21875" style="454"/>
    <col min="513" max="513" width="66.44140625" style="454" bestFit="1" customWidth="1"/>
    <col min="514" max="514" width="9.6640625" style="454" bestFit="1" customWidth="1"/>
    <col min="515" max="525" width="0" style="454" hidden="1" customWidth="1"/>
    <col min="526" max="526" width="14.88671875" style="454" bestFit="1" customWidth="1"/>
    <col min="527" max="531" width="0" style="454" hidden="1" customWidth="1"/>
    <col min="532" max="535" width="17.44140625" style="454" customWidth="1"/>
    <col min="536" max="768" width="9.21875" style="454"/>
    <col min="769" max="769" width="66.44140625" style="454" bestFit="1" customWidth="1"/>
    <col min="770" max="770" width="9.6640625" style="454" bestFit="1" customWidth="1"/>
    <col min="771" max="781" width="0" style="454" hidden="1" customWidth="1"/>
    <col min="782" max="782" width="14.88671875" style="454" bestFit="1" customWidth="1"/>
    <col min="783" max="787" width="0" style="454" hidden="1" customWidth="1"/>
    <col min="788" max="791" width="17.44140625" style="454" customWidth="1"/>
    <col min="792" max="1024" width="9.21875" style="454"/>
    <col min="1025" max="1025" width="66.44140625" style="454" bestFit="1" customWidth="1"/>
    <col min="1026" max="1026" width="9.6640625" style="454" bestFit="1" customWidth="1"/>
    <col min="1027" max="1037" width="0" style="454" hidden="1" customWidth="1"/>
    <col min="1038" max="1038" width="14.88671875" style="454" bestFit="1" customWidth="1"/>
    <col min="1039" max="1043" width="0" style="454" hidden="1" customWidth="1"/>
    <col min="1044" max="1047" width="17.44140625" style="454" customWidth="1"/>
    <col min="1048" max="1280" width="9.21875" style="454"/>
    <col min="1281" max="1281" width="66.44140625" style="454" bestFit="1" customWidth="1"/>
    <col min="1282" max="1282" width="9.6640625" style="454" bestFit="1" customWidth="1"/>
    <col min="1283" max="1293" width="0" style="454" hidden="1" customWidth="1"/>
    <col min="1294" max="1294" width="14.88671875" style="454" bestFit="1" customWidth="1"/>
    <col min="1295" max="1299" width="0" style="454" hidden="1" customWidth="1"/>
    <col min="1300" max="1303" width="17.44140625" style="454" customWidth="1"/>
    <col min="1304" max="1536" width="9.21875" style="454"/>
    <col min="1537" max="1537" width="66.44140625" style="454" bestFit="1" customWidth="1"/>
    <col min="1538" max="1538" width="9.6640625" style="454" bestFit="1" customWidth="1"/>
    <col min="1539" max="1549" width="0" style="454" hidden="1" customWidth="1"/>
    <col min="1550" max="1550" width="14.88671875" style="454" bestFit="1" customWidth="1"/>
    <col min="1551" max="1555" width="0" style="454" hidden="1" customWidth="1"/>
    <col min="1556" max="1559" width="17.44140625" style="454" customWidth="1"/>
    <col min="1560" max="1792" width="9.21875" style="454"/>
    <col min="1793" max="1793" width="66.44140625" style="454" bestFit="1" customWidth="1"/>
    <col min="1794" max="1794" width="9.6640625" style="454" bestFit="1" customWidth="1"/>
    <col min="1795" max="1805" width="0" style="454" hidden="1" customWidth="1"/>
    <col min="1806" max="1806" width="14.88671875" style="454" bestFit="1" customWidth="1"/>
    <col min="1807" max="1811" width="0" style="454" hidden="1" customWidth="1"/>
    <col min="1812" max="1815" width="17.44140625" style="454" customWidth="1"/>
    <col min="1816" max="2048" width="9.21875" style="454"/>
    <col min="2049" max="2049" width="66.44140625" style="454" bestFit="1" customWidth="1"/>
    <col min="2050" max="2050" width="9.6640625" style="454" bestFit="1" customWidth="1"/>
    <col min="2051" max="2061" width="0" style="454" hidden="1" customWidth="1"/>
    <col min="2062" max="2062" width="14.88671875" style="454" bestFit="1" customWidth="1"/>
    <col min="2063" max="2067" width="0" style="454" hidden="1" customWidth="1"/>
    <col min="2068" max="2071" width="17.44140625" style="454" customWidth="1"/>
    <col min="2072" max="2304" width="9.21875" style="454"/>
    <col min="2305" max="2305" width="66.44140625" style="454" bestFit="1" customWidth="1"/>
    <col min="2306" max="2306" width="9.6640625" style="454" bestFit="1" customWidth="1"/>
    <col min="2307" max="2317" width="0" style="454" hidden="1" customWidth="1"/>
    <col min="2318" max="2318" width="14.88671875" style="454" bestFit="1" customWidth="1"/>
    <col min="2319" max="2323" width="0" style="454" hidden="1" customWidth="1"/>
    <col min="2324" max="2327" width="17.44140625" style="454" customWidth="1"/>
    <col min="2328" max="2560" width="9.21875" style="454"/>
    <col min="2561" max="2561" width="66.44140625" style="454" bestFit="1" customWidth="1"/>
    <col min="2562" max="2562" width="9.6640625" style="454" bestFit="1" customWidth="1"/>
    <col min="2563" max="2573" width="0" style="454" hidden="1" customWidth="1"/>
    <col min="2574" max="2574" width="14.88671875" style="454" bestFit="1" customWidth="1"/>
    <col min="2575" max="2579" width="0" style="454" hidden="1" customWidth="1"/>
    <col min="2580" max="2583" width="17.44140625" style="454" customWidth="1"/>
    <col min="2584" max="2816" width="9.21875" style="454"/>
    <col min="2817" max="2817" width="66.44140625" style="454" bestFit="1" customWidth="1"/>
    <col min="2818" max="2818" width="9.6640625" style="454" bestFit="1" customWidth="1"/>
    <col min="2819" max="2829" width="0" style="454" hidden="1" customWidth="1"/>
    <col min="2830" max="2830" width="14.88671875" style="454" bestFit="1" customWidth="1"/>
    <col min="2831" max="2835" width="0" style="454" hidden="1" customWidth="1"/>
    <col min="2836" max="2839" width="17.44140625" style="454" customWidth="1"/>
    <col min="2840" max="3072" width="9.21875" style="454"/>
    <col min="3073" max="3073" width="66.44140625" style="454" bestFit="1" customWidth="1"/>
    <col min="3074" max="3074" width="9.6640625" style="454" bestFit="1" customWidth="1"/>
    <col min="3075" max="3085" width="0" style="454" hidden="1" customWidth="1"/>
    <col min="3086" max="3086" width="14.88671875" style="454" bestFit="1" customWidth="1"/>
    <col min="3087" max="3091" width="0" style="454" hidden="1" customWidth="1"/>
    <col min="3092" max="3095" width="17.44140625" style="454" customWidth="1"/>
    <col min="3096" max="3328" width="9.21875" style="454"/>
    <col min="3329" max="3329" width="66.44140625" style="454" bestFit="1" customWidth="1"/>
    <col min="3330" max="3330" width="9.6640625" style="454" bestFit="1" customWidth="1"/>
    <col min="3331" max="3341" width="0" style="454" hidden="1" customWidth="1"/>
    <col min="3342" max="3342" width="14.88671875" style="454" bestFit="1" customWidth="1"/>
    <col min="3343" max="3347" width="0" style="454" hidden="1" customWidth="1"/>
    <col min="3348" max="3351" width="17.44140625" style="454" customWidth="1"/>
    <col min="3352" max="3584" width="9.21875" style="454"/>
    <col min="3585" max="3585" width="66.44140625" style="454" bestFit="1" customWidth="1"/>
    <col min="3586" max="3586" width="9.6640625" style="454" bestFit="1" customWidth="1"/>
    <col min="3587" max="3597" width="0" style="454" hidden="1" customWidth="1"/>
    <col min="3598" max="3598" width="14.88671875" style="454" bestFit="1" customWidth="1"/>
    <col min="3599" max="3603" width="0" style="454" hidden="1" customWidth="1"/>
    <col min="3604" max="3607" width="17.44140625" style="454" customWidth="1"/>
    <col min="3608" max="3840" width="9.21875" style="454"/>
    <col min="3841" max="3841" width="66.44140625" style="454" bestFit="1" customWidth="1"/>
    <col min="3842" max="3842" width="9.6640625" style="454" bestFit="1" customWidth="1"/>
    <col min="3843" max="3853" width="0" style="454" hidden="1" customWidth="1"/>
    <col min="3854" max="3854" width="14.88671875" style="454" bestFit="1" customWidth="1"/>
    <col min="3855" max="3859" width="0" style="454" hidden="1" customWidth="1"/>
    <col min="3860" max="3863" width="17.44140625" style="454" customWidth="1"/>
    <col min="3864" max="4096" width="9.21875" style="454"/>
    <col min="4097" max="4097" width="66.44140625" style="454" bestFit="1" customWidth="1"/>
    <col min="4098" max="4098" width="9.6640625" style="454" bestFit="1" customWidth="1"/>
    <col min="4099" max="4109" width="0" style="454" hidden="1" customWidth="1"/>
    <col min="4110" max="4110" width="14.88671875" style="454" bestFit="1" customWidth="1"/>
    <col min="4111" max="4115" width="0" style="454" hidden="1" customWidth="1"/>
    <col min="4116" max="4119" width="17.44140625" style="454" customWidth="1"/>
    <col min="4120" max="4352" width="9.21875" style="454"/>
    <col min="4353" max="4353" width="66.44140625" style="454" bestFit="1" customWidth="1"/>
    <col min="4354" max="4354" width="9.6640625" style="454" bestFit="1" customWidth="1"/>
    <col min="4355" max="4365" width="0" style="454" hidden="1" customWidth="1"/>
    <col min="4366" max="4366" width="14.88671875" style="454" bestFit="1" customWidth="1"/>
    <col min="4367" max="4371" width="0" style="454" hidden="1" customWidth="1"/>
    <col min="4372" max="4375" width="17.44140625" style="454" customWidth="1"/>
    <col min="4376" max="4608" width="9.21875" style="454"/>
    <col min="4609" max="4609" width="66.44140625" style="454" bestFit="1" customWidth="1"/>
    <col min="4610" max="4610" width="9.6640625" style="454" bestFit="1" customWidth="1"/>
    <col min="4611" max="4621" width="0" style="454" hidden="1" customWidth="1"/>
    <col min="4622" max="4622" width="14.88671875" style="454" bestFit="1" customWidth="1"/>
    <col min="4623" max="4627" width="0" style="454" hidden="1" customWidth="1"/>
    <col min="4628" max="4631" width="17.44140625" style="454" customWidth="1"/>
    <col min="4632" max="4864" width="9.21875" style="454"/>
    <col min="4865" max="4865" width="66.44140625" style="454" bestFit="1" customWidth="1"/>
    <col min="4866" max="4866" width="9.6640625" style="454" bestFit="1" customWidth="1"/>
    <col min="4867" max="4877" width="0" style="454" hidden="1" customWidth="1"/>
    <col min="4878" max="4878" width="14.88671875" style="454" bestFit="1" customWidth="1"/>
    <col min="4879" max="4883" width="0" style="454" hidden="1" customWidth="1"/>
    <col min="4884" max="4887" width="17.44140625" style="454" customWidth="1"/>
    <col min="4888" max="5120" width="9.21875" style="454"/>
    <col min="5121" max="5121" width="66.44140625" style="454" bestFit="1" customWidth="1"/>
    <col min="5122" max="5122" width="9.6640625" style="454" bestFit="1" customWidth="1"/>
    <col min="5123" max="5133" width="0" style="454" hidden="1" customWidth="1"/>
    <col min="5134" max="5134" width="14.88671875" style="454" bestFit="1" customWidth="1"/>
    <col min="5135" max="5139" width="0" style="454" hidden="1" customWidth="1"/>
    <col min="5140" max="5143" width="17.44140625" style="454" customWidth="1"/>
    <col min="5144" max="5376" width="9.21875" style="454"/>
    <col min="5377" max="5377" width="66.44140625" style="454" bestFit="1" customWidth="1"/>
    <col min="5378" max="5378" width="9.6640625" style="454" bestFit="1" customWidth="1"/>
    <col min="5379" max="5389" width="0" style="454" hidden="1" customWidth="1"/>
    <col min="5390" max="5390" width="14.88671875" style="454" bestFit="1" customWidth="1"/>
    <col min="5391" max="5395" width="0" style="454" hidden="1" customWidth="1"/>
    <col min="5396" max="5399" width="17.44140625" style="454" customWidth="1"/>
    <col min="5400" max="5632" width="9.21875" style="454"/>
    <col min="5633" max="5633" width="66.44140625" style="454" bestFit="1" customWidth="1"/>
    <col min="5634" max="5634" width="9.6640625" style="454" bestFit="1" customWidth="1"/>
    <col min="5635" max="5645" width="0" style="454" hidden="1" customWidth="1"/>
    <col min="5646" max="5646" width="14.88671875" style="454" bestFit="1" customWidth="1"/>
    <col min="5647" max="5651" width="0" style="454" hidden="1" customWidth="1"/>
    <col min="5652" max="5655" width="17.44140625" style="454" customWidth="1"/>
    <col min="5656" max="5888" width="9.21875" style="454"/>
    <col min="5889" max="5889" width="66.44140625" style="454" bestFit="1" customWidth="1"/>
    <col min="5890" max="5890" width="9.6640625" style="454" bestFit="1" customWidth="1"/>
    <col min="5891" max="5901" width="0" style="454" hidden="1" customWidth="1"/>
    <col min="5902" max="5902" width="14.88671875" style="454" bestFit="1" customWidth="1"/>
    <col min="5903" max="5907" width="0" style="454" hidden="1" customWidth="1"/>
    <col min="5908" max="5911" width="17.44140625" style="454" customWidth="1"/>
    <col min="5912" max="6144" width="9.21875" style="454"/>
    <col min="6145" max="6145" width="66.44140625" style="454" bestFit="1" customWidth="1"/>
    <col min="6146" max="6146" width="9.6640625" style="454" bestFit="1" customWidth="1"/>
    <col min="6147" max="6157" width="0" style="454" hidden="1" customWidth="1"/>
    <col min="6158" max="6158" width="14.88671875" style="454" bestFit="1" customWidth="1"/>
    <col min="6159" max="6163" width="0" style="454" hidden="1" customWidth="1"/>
    <col min="6164" max="6167" width="17.44140625" style="454" customWidth="1"/>
    <col min="6168" max="6400" width="9.21875" style="454"/>
    <col min="6401" max="6401" width="66.44140625" style="454" bestFit="1" customWidth="1"/>
    <col min="6402" max="6402" width="9.6640625" style="454" bestFit="1" customWidth="1"/>
    <col min="6403" max="6413" width="0" style="454" hidden="1" customWidth="1"/>
    <col min="6414" max="6414" width="14.88671875" style="454" bestFit="1" customWidth="1"/>
    <col min="6415" max="6419" width="0" style="454" hidden="1" customWidth="1"/>
    <col min="6420" max="6423" width="17.44140625" style="454" customWidth="1"/>
    <col min="6424" max="6656" width="9.21875" style="454"/>
    <col min="6657" max="6657" width="66.44140625" style="454" bestFit="1" customWidth="1"/>
    <col min="6658" max="6658" width="9.6640625" style="454" bestFit="1" customWidth="1"/>
    <col min="6659" max="6669" width="0" style="454" hidden="1" customWidth="1"/>
    <col min="6670" max="6670" width="14.88671875" style="454" bestFit="1" customWidth="1"/>
    <col min="6671" max="6675" width="0" style="454" hidden="1" customWidth="1"/>
    <col min="6676" max="6679" width="17.44140625" style="454" customWidth="1"/>
    <col min="6680" max="6912" width="9.21875" style="454"/>
    <col min="6913" max="6913" width="66.44140625" style="454" bestFit="1" customWidth="1"/>
    <col min="6914" max="6914" width="9.6640625" style="454" bestFit="1" customWidth="1"/>
    <col min="6915" max="6925" width="0" style="454" hidden="1" customWidth="1"/>
    <col min="6926" max="6926" width="14.88671875" style="454" bestFit="1" customWidth="1"/>
    <col min="6927" max="6931" width="0" style="454" hidden="1" customWidth="1"/>
    <col min="6932" max="6935" width="17.44140625" style="454" customWidth="1"/>
    <col min="6936" max="7168" width="9.21875" style="454"/>
    <col min="7169" max="7169" width="66.44140625" style="454" bestFit="1" customWidth="1"/>
    <col min="7170" max="7170" width="9.6640625" style="454" bestFit="1" customWidth="1"/>
    <col min="7171" max="7181" width="0" style="454" hidden="1" customWidth="1"/>
    <col min="7182" max="7182" width="14.88671875" style="454" bestFit="1" customWidth="1"/>
    <col min="7183" max="7187" width="0" style="454" hidden="1" customWidth="1"/>
    <col min="7188" max="7191" width="17.44140625" style="454" customWidth="1"/>
    <col min="7192" max="7424" width="9.21875" style="454"/>
    <col min="7425" max="7425" width="66.44140625" style="454" bestFit="1" customWidth="1"/>
    <col min="7426" max="7426" width="9.6640625" style="454" bestFit="1" customWidth="1"/>
    <col min="7427" max="7437" width="0" style="454" hidden="1" customWidth="1"/>
    <col min="7438" max="7438" width="14.88671875" style="454" bestFit="1" customWidth="1"/>
    <col min="7439" max="7443" width="0" style="454" hidden="1" customWidth="1"/>
    <col min="7444" max="7447" width="17.44140625" style="454" customWidth="1"/>
    <col min="7448" max="7680" width="9.21875" style="454"/>
    <col min="7681" max="7681" width="66.44140625" style="454" bestFit="1" customWidth="1"/>
    <col min="7682" max="7682" width="9.6640625" style="454" bestFit="1" customWidth="1"/>
    <col min="7683" max="7693" width="0" style="454" hidden="1" customWidth="1"/>
    <col min="7694" max="7694" width="14.88671875" style="454" bestFit="1" customWidth="1"/>
    <col min="7695" max="7699" width="0" style="454" hidden="1" customWidth="1"/>
    <col min="7700" max="7703" width="17.44140625" style="454" customWidth="1"/>
    <col min="7704" max="7936" width="9.21875" style="454"/>
    <col min="7937" max="7937" width="66.44140625" style="454" bestFit="1" customWidth="1"/>
    <col min="7938" max="7938" width="9.6640625" style="454" bestFit="1" customWidth="1"/>
    <col min="7939" max="7949" width="0" style="454" hidden="1" customWidth="1"/>
    <col min="7950" max="7950" width="14.88671875" style="454" bestFit="1" customWidth="1"/>
    <col min="7951" max="7955" width="0" style="454" hidden="1" customWidth="1"/>
    <col min="7956" max="7959" width="17.44140625" style="454" customWidth="1"/>
    <col min="7960" max="8192" width="9.21875" style="454"/>
    <col min="8193" max="8193" width="66.44140625" style="454" bestFit="1" customWidth="1"/>
    <col min="8194" max="8194" width="9.6640625" style="454" bestFit="1" customWidth="1"/>
    <col min="8195" max="8205" width="0" style="454" hidden="1" customWidth="1"/>
    <col min="8206" max="8206" width="14.88671875" style="454" bestFit="1" customWidth="1"/>
    <col min="8207" max="8211" width="0" style="454" hidden="1" customWidth="1"/>
    <col min="8212" max="8215" width="17.44140625" style="454" customWidth="1"/>
    <col min="8216" max="8448" width="9.21875" style="454"/>
    <col min="8449" max="8449" width="66.44140625" style="454" bestFit="1" customWidth="1"/>
    <col min="8450" max="8450" width="9.6640625" style="454" bestFit="1" customWidth="1"/>
    <col min="8451" max="8461" width="0" style="454" hidden="1" customWidth="1"/>
    <col min="8462" max="8462" width="14.88671875" style="454" bestFit="1" customWidth="1"/>
    <col min="8463" max="8467" width="0" style="454" hidden="1" customWidth="1"/>
    <col min="8468" max="8471" width="17.44140625" style="454" customWidth="1"/>
    <col min="8472" max="8704" width="9.21875" style="454"/>
    <col min="8705" max="8705" width="66.44140625" style="454" bestFit="1" customWidth="1"/>
    <col min="8706" max="8706" width="9.6640625" style="454" bestFit="1" customWidth="1"/>
    <col min="8707" max="8717" width="0" style="454" hidden="1" customWidth="1"/>
    <col min="8718" max="8718" width="14.88671875" style="454" bestFit="1" customWidth="1"/>
    <col min="8719" max="8723" width="0" style="454" hidden="1" customWidth="1"/>
    <col min="8724" max="8727" width="17.44140625" style="454" customWidth="1"/>
    <col min="8728" max="8960" width="9.21875" style="454"/>
    <col min="8961" max="8961" width="66.44140625" style="454" bestFit="1" customWidth="1"/>
    <col min="8962" max="8962" width="9.6640625" style="454" bestFit="1" customWidth="1"/>
    <col min="8963" max="8973" width="0" style="454" hidden="1" customWidth="1"/>
    <col min="8974" max="8974" width="14.88671875" style="454" bestFit="1" customWidth="1"/>
    <col min="8975" max="8979" width="0" style="454" hidden="1" customWidth="1"/>
    <col min="8980" max="8983" width="17.44140625" style="454" customWidth="1"/>
    <col min="8984" max="9216" width="9.21875" style="454"/>
    <col min="9217" max="9217" width="66.44140625" style="454" bestFit="1" customWidth="1"/>
    <col min="9218" max="9218" width="9.6640625" style="454" bestFit="1" customWidth="1"/>
    <col min="9219" max="9229" width="0" style="454" hidden="1" customWidth="1"/>
    <col min="9230" max="9230" width="14.88671875" style="454" bestFit="1" customWidth="1"/>
    <col min="9231" max="9235" width="0" style="454" hidden="1" customWidth="1"/>
    <col min="9236" max="9239" width="17.44140625" style="454" customWidth="1"/>
    <col min="9240" max="9472" width="9.21875" style="454"/>
    <col min="9473" max="9473" width="66.44140625" style="454" bestFit="1" customWidth="1"/>
    <col min="9474" max="9474" width="9.6640625" style="454" bestFit="1" customWidth="1"/>
    <col min="9475" max="9485" width="0" style="454" hidden="1" customWidth="1"/>
    <col min="9486" max="9486" width="14.88671875" style="454" bestFit="1" customWidth="1"/>
    <col min="9487" max="9491" width="0" style="454" hidden="1" customWidth="1"/>
    <col min="9492" max="9495" width="17.44140625" style="454" customWidth="1"/>
    <col min="9496" max="9728" width="9.21875" style="454"/>
    <col min="9729" max="9729" width="66.44140625" style="454" bestFit="1" customWidth="1"/>
    <col min="9730" max="9730" width="9.6640625" style="454" bestFit="1" customWidth="1"/>
    <col min="9731" max="9741" width="0" style="454" hidden="1" customWidth="1"/>
    <col min="9742" max="9742" width="14.88671875" style="454" bestFit="1" customWidth="1"/>
    <col min="9743" max="9747" width="0" style="454" hidden="1" customWidth="1"/>
    <col min="9748" max="9751" width="17.44140625" style="454" customWidth="1"/>
    <col min="9752" max="9984" width="9.21875" style="454"/>
    <col min="9985" max="9985" width="66.44140625" style="454" bestFit="1" customWidth="1"/>
    <col min="9986" max="9986" width="9.6640625" style="454" bestFit="1" customWidth="1"/>
    <col min="9987" max="9997" width="0" style="454" hidden="1" customWidth="1"/>
    <col min="9998" max="9998" width="14.88671875" style="454" bestFit="1" customWidth="1"/>
    <col min="9999" max="10003" width="0" style="454" hidden="1" customWidth="1"/>
    <col min="10004" max="10007" width="17.44140625" style="454" customWidth="1"/>
    <col min="10008" max="10240" width="9.21875" style="454"/>
    <col min="10241" max="10241" width="66.44140625" style="454" bestFit="1" customWidth="1"/>
    <col min="10242" max="10242" width="9.6640625" style="454" bestFit="1" customWidth="1"/>
    <col min="10243" max="10253" width="0" style="454" hidden="1" customWidth="1"/>
    <col min="10254" max="10254" width="14.88671875" style="454" bestFit="1" customWidth="1"/>
    <col min="10255" max="10259" width="0" style="454" hidden="1" customWidth="1"/>
    <col min="10260" max="10263" width="17.44140625" style="454" customWidth="1"/>
    <col min="10264" max="10496" width="9.21875" style="454"/>
    <col min="10497" max="10497" width="66.44140625" style="454" bestFit="1" customWidth="1"/>
    <col min="10498" max="10498" width="9.6640625" style="454" bestFit="1" customWidth="1"/>
    <col min="10499" max="10509" width="0" style="454" hidden="1" customWidth="1"/>
    <col min="10510" max="10510" width="14.88671875" style="454" bestFit="1" customWidth="1"/>
    <col min="10511" max="10515" width="0" style="454" hidden="1" customWidth="1"/>
    <col min="10516" max="10519" width="17.44140625" style="454" customWidth="1"/>
    <col min="10520" max="10752" width="9.21875" style="454"/>
    <col min="10753" max="10753" width="66.44140625" style="454" bestFit="1" customWidth="1"/>
    <col min="10754" max="10754" width="9.6640625" style="454" bestFit="1" customWidth="1"/>
    <col min="10755" max="10765" width="0" style="454" hidden="1" customWidth="1"/>
    <col min="10766" max="10766" width="14.88671875" style="454" bestFit="1" customWidth="1"/>
    <col min="10767" max="10771" width="0" style="454" hidden="1" customWidth="1"/>
    <col min="10772" max="10775" width="17.44140625" style="454" customWidth="1"/>
    <col min="10776" max="11008" width="9.21875" style="454"/>
    <col min="11009" max="11009" width="66.44140625" style="454" bestFit="1" customWidth="1"/>
    <col min="11010" max="11010" width="9.6640625" style="454" bestFit="1" customWidth="1"/>
    <col min="11011" max="11021" width="0" style="454" hidden="1" customWidth="1"/>
    <col min="11022" max="11022" width="14.88671875" style="454" bestFit="1" customWidth="1"/>
    <col min="11023" max="11027" width="0" style="454" hidden="1" customWidth="1"/>
    <col min="11028" max="11031" width="17.44140625" style="454" customWidth="1"/>
    <col min="11032" max="11264" width="9.21875" style="454"/>
    <col min="11265" max="11265" width="66.44140625" style="454" bestFit="1" customWidth="1"/>
    <col min="11266" max="11266" width="9.6640625" style="454" bestFit="1" customWidth="1"/>
    <col min="11267" max="11277" width="0" style="454" hidden="1" customWidth="1"/>
    <col min="11278" max="11278" width="14.88671875" style="454" bestFit="1" customWidth="1"/>
    <col min="11279" max="11283" width="0" style="454" hidden="1" customWidth="1"/>
    <col min="11284" max="11287" width="17.44140625" style="454" customWidth="1"/>
    <col min="11288" max="11520" width="9.21875" style="454"/>
    <col min="11521" max="11521" width="66.44140625" style="454" bestFit="1" customWidth="1"/>
    <col min="11522" max="11522" width="9.6640625" style="454" bestFit="1" customWidth="1"/>
    <col min="11523" max="11533" width="0" style="454" hidden="1" customWidth="1"/>
    <col min="11534" max="11534" width="14.88671875" style="454" bestFit="1" customWidth="1"/>
    <col min="11535" max="11539" width="0" style="454" hidden="1" customWidth="1"/>
    <col min="11540" max="11543" width="17.44140625" style="454" customWidth="1"/>
    <col min="11544" max="11776" width="9.21875" style="454"/>
    <col min="11777" max="11777" width="66.44140625" style="454" bestFit="1" customWidth="1"/>
    <col min="11778" max="11778" width="9.6640625" style="454" bestFit="1" customWidth="1"/>
    <col min="11779" max="11789" width="0" style="454" hidden="1" customWidth="1"/>
    <col min="11790" max="11790" width="14.88671875" style="454" bestFit="1" customWidth="1"/>
    <col min="11791" max="11795" width="0" style="454" hidden="1" customWidth="1"/>
    <col min="11796" max="11799" width="17.44140625" style="454" customWidth="1"/>
    <col min="11800" max="12032" width="9.21875" style="454"/>
    <col min="12033" max="12033" width="66.44140625" style="454" bestFit="1" customWidth="1"/>
    <col min="12034" max="12034" width="9.6640625" style="454" bestFit="1" customWidth="1"/>
    <col min="12035" max="12045" width="0" style="454" hidden="1" customWidth="1"/>
    <col min="12046" max="12046" width="14.88671875" style="454" bestFit="1" customWidth="1"/>
    <col min="12047" max="12051" width="0" style="454" hidden="1" customWidth="1"/>
    <col min="12052" max="12055" width="17.44140625" style="454" customWidth="1"/>
    <col min="12056" max="12288" width="9.21875" style="454"/>
    <col min="12289" max="12289" width="66.44140625" style="454" bestFit="1" customWidth="1"/>
    <col min="12290" max="12290" width="9.6640625" style="454" bestFit="1" customWidth="1"/>
    <col min="12291" max="12301" width="0" style="454" hidden="1" customWidth="1"/>
    <col min="12302" max="12302" width="14.88671875" style="454" bestFit="1" customWidth="1"/>
    <col min="12303" max="12307" width="0" style="454" hidden="1" customWidth="1"/>
    <col min="12308" max="12311" width="17.44140625" style="454" customWidth="1"/>
    <col min="12312" max="12544" width="9.21875" style="454"/>
    <col min="12545" max="12545" width="66.44140625" style="454" bestFit="1" customWidth="1"/>
    <col min="12546" max="12546" width="9.6640625" style="454" bestFit="1" customWidth="1"/>
    <col min="12547" max="12557" width="0" style="454" hidden="1" customWidth="1"/>
    <col min="12558" max="12558" width="14.88671875" style="454" bestFit="1" customWidth="1"/>
    <col min="12559" max="12563" width="0" style="454" hidden="1" customWidth="1"/>
    <col min="12564" max="12567" width="17.44140625" style="454" customWidth="1"/>
    <col min="12568" max="12800" width="9.21875" style="454"/>
    <col min="12801" max="12801" width="66.44140625" style="454" bestFit="1" customWidth="1"/>
    <col min="12802" max="12802" width="9.6640625" style="454" bestFit="1" customWidth="1"/>
    <col min="12803" max="12813" width="0" style="454" hidden="1" customWidth="1"/>
    <col min="12814" max="12814" width="14.88671875" style="454" bestFit="1" customWidth="1"/>
    <col min="12815" max="12819" width="0" style="454" hidden="1" customWidth="1"/>
    <col min="12820" max="12823" width="17.44140625" style="454" customWidth="1"/>
    <col min="12824" max="13056" width="9.21875" style="454"/>
    <col min="13057" max="13057" width="66.44140625" style="454" bestFit="1" customWidth="1"/>
    <col min="13058" max="13058" width="9.6640625" style="454" bestFit="1" customWidth="1"/>
    <col min="13059" max="13069" width="0" style="454" hidden="1" customWidth="1"/>
    <col min="13070" max="13070" width="14.88671875" style="454" bestFit="1" customWidth="1"/>
    <col min="13071" max="13075" width="0" style="454" hidden="1" customWidth="1"/>
    <col min="13076" max="13079" width="17.44140625" style="454" customWidth="1"/>
    <col min="13080" max="13312" width="9.21875" style="454"/>
    <col min="13313" max="13313" width="66.44140625" style="454" bestFit="1" customWidth="1"/>
    <col min="13314" max="13314" width="9.6640625" style="454" bestFit="1" customWidth="1"/>
    <col min="13315" max="13325" width="0" style="454" hidden="1" customWidth="1"/>
    <col min="13326" max="13326" width="14.88671875" style="454" bestFit="1" customWidth="1"/>
    <col min="13327" max="13331" width="0" style="454" hidden="1" customWidth="1"/>
    <col min="13332" max="13335" width="17.44140625" style="454" customWidth="1"/>
    <col min="13336" max="13568" width="9.21875" style="454"/>
    <col min="13569" max="13569" width="66.44140625" style="454" bestFit="1" customWidth="1"/>
    <col min="13570" max="13570" width="9.6640625" style="454" bestFit="1" customWidth="1"/>
    <col min="13571" max="13581" width="0" style="454" hidden="1" customWidth="1"/>
    <col min="13582" max="13582" width="14.88671875" style="454" bestFit="1" customWidth="1"/>
    <col min="13583" max="13587" width="0" style="454" hidden="1" customWidth="1"/>
    <col min="13588" max="13591" width="17.44140625" style="454" customWidth="1"/>
    <col min="13592" max="13824" width="9.21875" style="454"/>
    <col min="13825" max="13825" width="66.44140625" style="454" bestFit="1" customWidth="1"/>
    <col min="13826" max="13826" width="9.6640625" style="454" bestFit="1" customWidth="1"/>
    <col min="13827" max="13837" width="0" style="454" hidden="1" customWidth="1"/>
    <col min="13838" max="13838" width="14.88671875" style="454" bestFit="1" customWidth="1"/>
    <col min="13839" max="13843" width="0" style="454" hidden="1" customWidth="1"/>
    <col min="13844" max="13847" width="17.44140625" style="454" customWidth="1"/>
    <col min="13848" max="14080" width="9.21875" style="454"/>
    <col min="14081" max="14081" width="66.44140625" style="454" bestFit="1" customWidth="1"/>
    <col min="14082" max="14082" width="9.6640625" style="454" bestFit="1" customWidth="1"/>
    <col min="14083" max="14093" width="0" style="454" hidden="1" customWidth="1"/>
    <col min="14094" max="14094" width="14.88671875" style="454" bestFit="1" customWidth="1"/>
    <col min="14095" max="14099" width="0" style="454" hidden="1" customWidth="1"/>
    <col min="14100" max="14103" width="17.44140625" style="454" customWidth="1"/>
    <col min="14104" max="14336" width="9.21875" style="454"/>
    <col min="14337" max="14337" width="66.44140625" style="454" bestFit="1" customWidth="1"/>
    <col min="14338" max="14338" width="9.6640625" style="454" bestFit="1" customWidth="1"/>
    <col min="14339" max="14349" width="0" style="454" hidden="1" customWidth="1"/>
    <col min="14350" max="14350" width="14.88671875" style="454" bestFit="1" customWidth="1"/>
    <col min="14351" max="14355" width="0" style="454" hidden="1" customWidth="1"/>
    <col min="14356" max="14359" width="17.44140625" style="454" customWidth="1"/>
    <col min="14360" max="14592" width="9.21875" style="454"/>
    <col min="14593" max="14593" width="66.44140625" style="454" bestFit="1" customWidth="1"/>
    <col min="14594" max="14594" width="9.6640625" style="454" bestFit="1" customWidth="1"/>
    <col min="14595" max="14605" width="0" style="454" hidden="1" customWidth="1"/>
    <col min="14606" max="14606" width="14.88671875" style="454" bestFit="1" customWidth="1"/>
    <col min="14607" max="14611" width="0" style="454" hidden="1" customWidth="1"/>
    <col min="14612" max="14615" width="17.44140625" style="454" customWidth="1"/>
    <col min="14616" max="14848" width="9.21875" style="454"/>
    <col min="14849" max="14849" width="66.44140625" style="454" bestFit="1" customWidth="1"/>
    <col min="14850" max="14850" width="9.6640625" style="454" bestFit="1" customWidth="1"/>
    <col min="14851" max="14861" width="0" style="454" hidden="1" customWidth="1"/>
    <col min="14862" max="14862" width="14.88671875" style="454" bestFit="1" customWidth="1"/>
    <col min="14863" max="14867" width="0" style="454" hidden="1" customWidth="1"/>
    <col min="14868" max="14871" width="17.44140625" style="454" customWidth="1"/>
    <col min="14872" max="15104" width="9.21875" style="454"/>
    <col min="15105" max="15105" width="66.44140625" style="454" bestFit="1" customWidth="1"/>
    <col min="15106" max="15106" width="9.6640625" style="454" bestFit="1" customWidth="1"/>
    <col min="15107" max="15117" width="0" style="454" hidden="1" customWidth="1"/>
    <col min="15118" max="15118" width="14.88671875" style="454" bestFit="1" customWidth="1"/>
    <col min="15119" max="15123" width="0" style="454" hidden="1" customWidth="1"/>
    <col min="15124" max="15127" width="17.44140625" style="454" customWidth="1"/>
    <col min="15128" max="15360" width="9.21875" style="454"/>
    <col min="15361" max="15361" width="66.44140625" style="454" bestFit="1" customWidth="1"/>
    <col min="15362" max="15362" width="9.6640625" style="454" bestFit="1" customWidth="1"/>
    <col min="15363" max="15373" width="0" style="454" hidden="1" customWidth="1"/>
    <col min="15374" max="15374" width="14.88671875" style="454" bestFit="1" customWidth="1"/>
    <col min="15375" max="15379" width="0" style="454" hidden="1" customWidth="1"/>
    <col min="15380" max="15383" width="17.44140625" style="454" customWidth="1"/>
    <col min="15384" max="15616" width="9.21875" style="454"/>
    <col min="15617" max="15617" width="66.44140625" style="454" bestFit="1" customWidth="1"/>
    <col min="15618" max="15618" width="9.6640625" style="454" bestFit="1" customWidth="1"/>
    <col min="15619" max="15629" width="0" style="454" hidden="1" customWidth="1"/>
    <col min="15630" max="15630" width="14.88671875" style="454" bestFit="1" customWidth="1"/>
    <col min="15631" max="15635" width="0" style="454" hidden="1" customWidth="1"/>
    <col min="15636" max="15639" width="17.44140625" style="454" customWidth="1"/>
    <col min="15640" max="15872" width="9.21875" style="454"/>
    <col min="15873" max="15873" width="66.44140625" style="454" bestFit="1" customWidth="1"/>
    <col min="15874" max="15874" width="9.6640625" style="454" bestFit="1" customWidth="1"/>
    <col min="15875" max="15885" width="0" style="454" hidden="1" customWidth="1"/>
    <col min="15886" max="15886" width="14.88671875" style="454" bestFit="1" customWidth="1"/>
    <col min="15887" max="15891" width="0" style="454" hidden="1" customWidth="1"/>
    <col min="15892" max="15895" width="17.44140625" style="454" customWidth="1"/>
    <col min="15896" max="16128" width="9.21875" style="454"/>
    <col min="16129" max="16129" width="66.44140625" style="454" bestFit="1" customWidth="1"/>
    <col min="16130" max="16130" width="9.6640625" style="454" bestFit="1" customWidth="1"/>
    <col min="16131" max="16141" width="0" style="454" hidden="1" customWidth="1"/>
    <col min="16142" max="16142" width="14.88671875" style="454" bestFit="1" customWidth="1"/>
    <col min="16143" max="16147" width="0" style="454" hidden="1" customWidth="1"/>
    <col min="16148" max="16151" width="17.44140625" style="454" customWidth="1"/>
    <col min="16152" max="16384" width="9.21875" style="454"/>
  </cols>
  <sheetData>
    <row r="1" spans="1:19" s="446" customFormat="1" ht="16.2">
      <c r="A1" s="573" t="s">
        <v>303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454"/>
      <c r="Q1" s="447"/>
      <c r="R1" s="448"/>
      <c r="S1" s="449"/>
    </row>
    <row r="2" spans="1:19" s="446" customFormat="1" ht="15.6">
      <c r="A2" s="575" t="s">
        <v>311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454"/>
      <c r="Q2" s="450"/>
      <c r="R2" s="451"/>
      <c r="S2" s="449"/>
    </row>
    <row r="3" spans="1:19" s="446" customFormat="1" ht="15.6">
      <c r="A3" s="577" t="str">
        <f>R4</f>
        <v>May 2017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454"/>
      <c r="Q3" s="450"/>
      <c r="R3" s="451"/>
      <c r="S3" s="449"/>
    </row>
    <row r="4" spans="1:19" s="446" customFormat="1">
      <c r="A4" s="465"/>
      <c r="B4" s="465"/>
      <c r="C4" s="465"/>
      <c r="D4" s="465"/>
      <c r="E4" s="465"/>
      <c r="F4" s="465"/>
      <c r="G4" s="465"/>
      <c r="O4" s="454"/>
      <c r="Q4" s="450" t="s">
        <v>400</v>
      </c>
      <c r="R4" s="451" t="str">
        <f>TEXT(S4,"mmmm yyyy")</f>
        <v>May 2017</v>
      </c>
      <c r="S4" s="453">
        <v>42886</v>
      </c>
    </row>
    <row r="5" spans="1:19">
      <c r="A5" s="465"/>
      <c r="B5" s="465"/>
      <c r="C5" s="465"/>
      <c r="D5" s="465"/>
      <c r="E5" s="465"/>
      <c r="F5" s="465"/>
      <c r="G5" s="465"/>
      <c r="K5" s="465"/>
      <c r="L5" s="465"/>
      <c r="M5" s="465"/>
      <c r="N5" s="465"/>
      <c r="Q5" s="450" t="s">
        <v>407</v>
      </c>
      <c r="R5" s="451" t="str">
        <f>S5</f>
        <v>.</v>
      </c>
      <c r="S5" s="449" t="s">
        <v>402</v>
      </c>
    </row>
    <row r="6" spans="1:19" ht="15.6">
      <c r="A6" s="10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"&amp;$R$6&amp;" YTD"</f>
        <v>FY 2017 YTD</v>
      </c>
      <c r="Q6" s="450" t="s">
        <v>403</v>
      </c>
      <c r="R6" s="451" t="str">
        <f>S6</f>
        <v>2017</v>
      </c>
      <c r="S6" s="449" t="s">
        <v>404</v>
      </c>
    </row>
    <row r="7" spans="1:19" ht="16.2" thickBot="1">
      <c r="A7" s="107"/>
      <c r="B7" s="456" t="str">
        <f>"9/1/2"&amp;$R$10</f>
        <v>9/1/2016</v>
      </c>
      <c r="C7" s="529" t="str">
        <f>"Oct 2"&amp;$R$10</f>
        <v>Oct 2016</v>
      </c>
      <c r="D7" s="529" t="str">
        <f>"Nov 2"&amp;$R$10</f>
        <v>Nov 2016</v>
      </c>
      <c r="E7" s="529" t="str">
        <f>"Dec 2"&amp;$R$10</f>
        <v>Dec 2016</v>
      </c>
      <c r="F7" s="529" t="str">
        <f>"Jan "&amp;$R$6</f>
        <v>Jan 2017</v>
      </c>
      <c r="G7" s="529" t="str">
        <f>"Feb "&amp;$R$6</f>
        <v>Feb 2017</v>
      </c>
      <c r="H7" s="529" t="str">
        <f>"Mar "&amp;$R$6</f>
        <v>Mar 2017</v>
      </c>
      <c r="I7" s="529" t="str">
        <f>"Apr "&amp;$R$6</f>
        <v>Apr 2017</v>
      </c>
      <c r="J7" s="529" t="str">
        <f>"May "&amp;$R$6</f>
        <v>May 2017</v>
      </c>
      <c r="K7" s="529" t="str">
        <f>"Jun "&amp;$R$6</f>
        <v>Jun 2017</v>
      </c>
      <c r="L7" s="529" t="str">
        <f>"Jul "&amp;$R$6</f>
        <v>Jul 2017</v>
      </c>
      <c r="M7" s="529" t="str">
        <f>"Aug "&amp;$R$6</f>
        <v>Aug 2017</v>
      </c>
      <c r="N7" s="544" t="str">
        <f>"as of "&amp;R8</f>
        <v>as of 05/31/17</v>
      </c>
      <c r="Q7" s="450" t="s">
        <v>405</v>
      </c>
      <c r="R7" s="451" t="str">
        <f>TEXT(S7,"mmmm-dd-yyyy")</f>
        <v>May-31-2017</v>
      </c>
      <c r="S7" s="453">
        <f>S4</f>
        <v>42886</v>
      </c>
    </row>
    <row r="8" spans="1:19" ht="16.2" thickTop="1">
      <c r="A8" s="107"/>
      <c r="B8" s="107"/>
      <c r="C8" s="107"/>
      <c r="D8" s="107"/>
      <c r="E8" s="107"/>
      <c r="F8" s="107"/>
      <c r="G8" s="107"/>
      <c r="H8" s="101"/>
      <c r="I8" s="119"/>
      <c r="J8" s="119"/>
      <c r="K8" s="107"/>
      <c r="L8" s="107"/>
      <c r="M8" s="107"/>
      <c r="N8" s="107"/>
      <c r="Q8" s="450" t="s">
        <v>405</v>
      </c>
      <c r="R8" s="451" t="str">
        <f>TEXT(S8,"mm/dd/yy")</f>
        <v>05/31/17</v>
      </c>
      <c r="S8" s="453">
        <f>S4</f>
        <v>42886</v>
      </c>
    </row>
    <row r="9" spans="1:19" ht="16.2" thickBot="1">
      <c r="A9" s="533" t="s">
        <v>301</v>
      </c>
      <c r="B9" s="113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>B9</f>
        <v>0</v>
      </c>
      <c r="Q9" s="450" t="s">
        <v>403</v>
      </c>
      <c r="R9" s="451">
        <f>S9</f>
        <v>17</v>
      </c>
      <c r="S9" s="449">
        <v>17</v>
      </c>
    </row>
    <row r="10" spans="1:19" ht="15.6">
      <c r="A10" s="107"/>
      <c r="B10" s="107"/>
      <c r="C10" s="107"/>
      <c r="D10" s="107"/>
      <c r="E10" s="107"/>
      <c r="F10" s="107"/>
      <c r="G10" s="107"/>
      <c r="H10" s="101"/>
      <c r="I10" s="101"/>
      <c r="J10" s="101"/>
      <c r="K10" s="107"/>
      <c r="L10" s="107"/>
      <c r="M10" s="107"/>
      <c r="N10" s="107"/>
      <c r="Q10" s="520" t="s">
        <v>406</v>
      </c>
      <c r="R10" s="521" t="str">
        <f>"0"&amp;S10</f>
        <v>016</v>
      </c>
      <c r="S10" s="449">
        <v>16</v>
      </c>
    </row>
    <row r="11" spans="1:19" ht="15.6">
      <c r="A11" s="106" t="s">
        <v>300</v>
      </c>
      <c r="B11" s="107"/>
      <c r="C11" s="107"/>
      <c r="D11" s="107"/>
      <c r="E11" s="107"/>
      <c r="F11" s="107"/>
      <c r="G11" s="107"/>
      <c r="H11" s="101"/>
      <c r="I11" s="101"/>
      <c r="J11" s="101"/>
      <c r="K11" s="107"/>
      <c r="L11" s="107"/>
      <c r="M11" s="107"/>
      <c r="N11" s="107"/>
    </row>
    <row r="12" spans="1:19" ht="15.6">
      <c r="A12" s="107"/>
      <c r="B12" s="107"/>
      <c r="C12" s="107"/>
      <c r="D12" s="107"/>
      <c r="E12" s="107"/>
      <c r="F12" s="107"/>
      <c r="G12" s="107"/>
      <c r="H12" s="101"/>
      <c r="I12" s="101"/>
      <c r="J12" s="101"/>
      <c r="K12" s="107"/>
      <c r="L12" s="107"/>
      <c r="M12" s="107"/>
      <c r="N12" s="107"/>
    </row>
    <row r="13" spans="1:19" ht="15.6">
      <c r="A13" s="107" t="s">
        <v>312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>
        <f>SUM(B13:M13)</f>
        <v>0</v>
      </c>
    </row>
    <row r="14" spans="1:19" ht="15.6">
      <c r="A14" s="110" t="s">
        <v>313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>
        <f>SUM(B14:M14)</f>
        <v>0</v>
      </c>
    </row>
    <row r="15" spans="1:19" ht="15.6">
      <c r="A15" s="107" t="s">
        <v>314</v>
      </c>
      <c r="B15" s="107">
        <v>0</v>
      </c>
      <c r="C15" s="101">
        <v>21527</v>
      </c>
      <c r="D15" s="107">
        <v>995026</v>
      </c>
      <c r="E15" s="107">
        <v>0</v>
      </c>
      <c r="F15" s="107">
        <v>0</v>
      </c>
      <c r="G15" s="107">
        <v>4669148</v>
      </c>
      <c r="H15" s="107"/>
      <c r="I15" s="107"/>
      <c r="J15" s="107"/>
      <c r="K15" s="107"/>
      <c r="L15" s="107"/>
      <c r="M15" s="107"/>
      <c r="N15" s="107">
        <f>SUM(B15:M15)</f>
        <v>5685701</v>
      </c>
    </row>
    <row r="16" spans="1:19" ht="15.6">
      <c r="A16" s="107"/>
      <c r="B16" s="107"/>
      <c r="C16" s="107"/>
      <c r="D16" s="107"/>
      <c r="E16" s="107"/>
      <c r="F16" s="107"/>
      <c r="G16" s="107"/>
      <c r="H16" s="101"/>
      <c r="I16" s="101"/>
      <c r="J16" s="101"/>
      <c r="K16" s="107"/>
      <c r="L16" s="107"/>
      <c r="M16" s="107"/>
      <c r="N16" s="107"/>
    </row>
    <row r="17" spans="1:14" ht="15.6">
      <c r="A17" s="107"/>
      <c r="B17" s="107"/>
      <c r="C17" s="107"/>
      <c r="D17" s="107"/>
      <c r="E17" s="107"/>
      <c r="F17" s="107"/>
      <c r="G17" s="107"/>
      <c r="H17" s="101"/>
      <c r="I17" s="101"/>
      <c r="J17" s="101"/>
      <c r="K17" s="107"/>
      <c r="L17" s="107"/>
      <c r="M17" s="107"/>
      <c r="N17" s="107"/>
    </row>
    <row r="18" spans="1:14" ht="15.6">
      <c r="A18" s="115" t="s">
        <v>308</v>
      </c>
      <c r="B18" s="107"/>
      <c r="C18" s="107"/>
      <c r="D18" s="107"/>
      <c r="E18" s="107"/>
      <c r="F18" s="107"/>
      <c r="G18" s="107"/>
      <c r="H18" s="101"/>
      <c r="I18" s="101"/>
      <c r="J18" s="101"/>
      <c r="K18" s="107"/>
      <c r="L18" s="107"/>
      <c r="M18" s="107"/>
      <c r="N18" s="107">
        <f>ROUND(SUM(B18:M18),0)</f>
        <v>0</v>
      </c>
    </row>
    <row r="19" spans="1:14" ht="15.6">
      <c r="A19" s="107"/>
      <c r="B19" s="107"/>
      <c r="C19" s="107"/>
      <c r="D19" s="107"/>
      <c r="E19" s="107"/>
      <c r="F19" s="107"/>
      <c r="G19" s="107"/>
      <c r="H19" s="101"/>
      <c r="I19" s="101"/>
      <c r="J19" s="101"/>
      <c r="K19" s="107"/>
      <c r="L19" s="107"/>
      <c r="M19" s="107"/>
      <c r="N19" s="107">
        <f>ROUND(SUM(B19:M19),0)</f>
        <v>0</v>
      </c>
    </row>
    <row r="20" spans="1:14" ht="15.6">
      <c r="A20" s="107"/>
      <c r="B20" s="107"/>
      <c r="C20" s="107"/>
      <c r="D20" s="107"/>
      <c r="E20" s="107"/>
      <c r="F20" s="107"/>
      <c r="G20" s="107"/>
      <c r="H20" s="101"/>
      <c r="I20" s="101"/>
      <c r="J20" s="101"/>
      <c r="K20" s="107"/>
      <c r="L20" s="107"/>
      <c r="M20" s="107"/>
      <c r="N20" s="107"/>
    </row>
    <row r="21" spans="1:14" ht="15.6">
      <c r="A21" s="108" t="s">
        <v>295</v>
      </c>
      <c r="B21" s="116">
        <f t="shared" ref="B21:N21" si="1">ROUND((SUM(B11:B15)),0)</f>
        <v>0</v>
      </c>
      <c r="C21" s="116">
        <f t="shared" si="1"/>
        <v>21527</v>
      </c>
      <c r="D21" s="116">
        <f t="shared" si="1"/>
        <v>995026</v>
      </c>
      <c r="E21" s="116">
        <f t="shared" si="1"/>
        <v>0</v>
      </c>
      <c r="F21" s="116">
        <f t="shared" si="1"/>
        <v>0</v>
      </c>
      <c r="G21" s="116">
        <f t="shared" si="1"/>
        <v>4669148</v>
      </c>
      <c r="H21" s="116">
        <f t="shared" si="1"/>
        <v>0</v>
      </c>
      <c r="I21" s="116">
        <f t="shared" si="1"/>
        <v>0</v>
      </c>
      <c r="J21" s="116">
        <f t="shared" si="1"/>
        <v>0</v>
      </c>
      <c r="K21" s="116">
        <f t="shared" si="1"/>
        <v>0</v>
      </c>
      <c r="L21" s="116">
        <f t="shared" si="1"/>
        <v>0</v>
      </c>
      <c r="M21" s="116">
        <f t="shared" si="1"/>
        <v>0</v>
      </c>
      <c r="N21" s="116">
        <f t="shared" si="1"/>
        <v>5685701</v>
      </c>
    </row>
    <row r="22" spans="1:14" ht="15.6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15.6">
      <c r="A23" s="106" t="s">
        <v>294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 ht="15.6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ht="15.6">
      <c r="A25" s="120" t="s">
        <v>315</v>
      </c>
      <c r="B25" s="114">
        <v>0</v>
      </c>
      <c r="C25" s="107">
        <v>-21527</v>
      </c>
      <c r="D25" s="107">
        <v>-995026</v>
      </c>
      <c r="E25" s="107">
        <v>0</v>
      </c>
      <c r="F25" s="107">
        <v>0</v>
      </c>
      <c r="G25" s="107">
        <v>-4669148</v>
      </c>
      <c r="H25" s="107"/>
      <c r="I25" s="107"/>
      <c r="J25" s="107"/>
      <c r="K25" s="107"/>
      <c r="L25" s="107"/>
      <c r="M25" s="107"/>
      <c r="N25" s="107">
        <f t="shared" ref="N25:N28" si="2">ROUND(SUM(B25:M25),0)</f>
        <v>-5685701</v>
      </c>
    </row>
    <row r="26" spans="1:14" ht="15.6">
      <c r="A26" s="117" t="s">
        <v>316</v>
      </c>
      <c r="B26" s="107"/>
      <c r="C26" s="107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07">
        <f t="shared" si="2"/>
        <v>0</v>
      </c>
    </row>
    <row r="27" spans="1:14" ht="15.6">
      <c r="A27" s="107" t="s">
        <v>417</v>
      </c>
      <c r="B27" s="107"/>
      <c r="C27" s="107"/>
      <c r="D27" s="107"/>
      <c r="E27" s="109"/>
      <c r="F27" s="107"/>
      <c r="G27" s="107"/>
      <c r="H27" s="107"/>
      <c r="I27" s="107"/>
      <c r="J27" s="107"/>
      <c r="K27" s="107"/>
      <c r="L27" s="107"/>
      <c r="M27" s="107"/>
      <c r="N27" s="107">
        <f t="shared" si="2"/>
        <v>0</v>
      </c>
    </row>
    <row r="28" spans="1:14" ht="15.6">
      <c r="A28" s="54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>
        <f t="shared" si="2"/>
        <v>0</v>
      </c>
    </row>
    <row r="29" spans="1:14" ht="15.6">
      <c r="A29" s="11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ht="15.6">
      <c r="A30" s="115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5.6">
      <c r="A31" s="106" t="s">
        <v>292</v>
      </c>
      <c r="B31" s="116">
        <f t="shared" ref="B31:N31" si="3">ROUND(SUM(B25:B28),0)</f>
        <v>0</v>
      </c>
      <c r="C31" s="116">
        <f t="shared" si="3"/>
        <v>-21527</v>
      </c>
      <c r="D31" s="116">
        <f t="shared" si="3"/>
        <v>-995026</v>
      </c>
      <c r="E31" s="116">
        <f t="shared" si="3"/>
        <v>0</v>
      </c>
      <c r="F31" s="116">
        <f t="shared" si="3"/>
        <v>0</v>
      </c>
      <c r="G31" s="116">
        <f t="shared" si="3"/>
        <v>-4669148</v>
      </c>
      <c r="H31" s="116">
        <f t="shared" si="3"/>
        <v>0</v>
      </c>
      <c r="I31" s="116">
        <f t="shared" si="3"/>
        <v>0</v>
      </c>
      <c r="J31" s="116">
        <f t="shared" si="3"/>
        <v>0</v>
      </c>
      <c r="K31" s="116">
        <f t="shared" si="3"/>
        <v>0</v>
      </c>
      <c r="L31" s="116">
        <f t="shared" si="3"/>
        <v>0</v>
      </c>
      <c r="M31" s="116">
        <f t="shared" si="3"/>
        <v>0</v>
      </c>
      <c r="N31" s="116">
        <f t="shared" si="3"/>
        <v>-5685701</v>
      </c>
    </row>
    <row r="32" spans="1:14" ht="15.6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6.2" thickBot="1">
      <c r="A33" s="548" t="s">
        <v>291</v>
      </c>
      <c r="B33" s="549">
        <f t="shared" ref="B33:M33" si="4">+B9+B21+B31</f>
        <v>0</v>
      </c>
      <c r="C33" s="549">
        <f t="shared" si="4"/>
        <v>0</v>
      </c>
      <c r="D33" s="549">
        <f t="shared" si="4"/>
        <v>0</v>
      </c>
      <c r="E33" s="549">
        <f t="shared" si="4"/>
        <v>0</v>
      </c>
      <c r="F33" s="549">
        <f t="shared" si="4"/>
        <v>0</v>
      </c>
      <c r="G33" s="549">
        <f t="shared" si="4"/>
        <v>0</v>
      </c>
      <c r="H33" s="549">
        <f t="shared" si="4"/>
        <v>0</v>
      </c>
      <c r="I33" s="549">
        <f t="shared" si="4"/>
        <v>0</v>
      </c>
      <c r="J33" s="549">
        <f t="shared" si="4"/>
        <v>0</v>
      </c>
      <c r="K33" s="549">
        <f t="shared" si="4"/>
        <v>0</v>
      </c>
      <c r="L33" s="549">
        <f t="shared" si="4"/>
        <v>0</v>
      </c>
      <c r="M33" s="549">
        <f t="shared" si="4"/>
        <v>0</v>
      </c>
      <c r="N33" s="549">
        <f>N9+N21+N31</f>
        <v>0</v>
      </c>
    </row>
    <row r="34" spans="1:14" ht="7.8" customHeight="1" thickTop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.6">
      <c r="A35" s="101" t="s">
        <v>317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6">
      <c r="A36" s="101" t="s">
        <v>318</v>
      </c>
    </row>
  </sheetData>
  <mergeCells count="3">
    <mergeCell ref="A1:N1"/>
    <mergeCell ref="A2:N2"/>
    <mergeCell ref="A3:N3"/>
  </mergeCells>
  <printOptions horizontalCentered="1"/>
  <pageMargins left="0" right="0" top="0.5" bottom="0.5" header="0.55000000000000004" footer="0.05"/>
  <pageSetup scale="54" fitToHeight="0" orientation="landscape" r:id="rId1"/>
  <headerFooter scaleWithDoc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Schedule 1</vt:lpstr>
      <vt:lpstr>Schedule 1 Supplemental</vt:lpstr>
      <vt:lpstr>Schedule 2</vt:lpstr>
      <vt:lpstr>Schedule 3</vt:lpstr>
      <vt:lpstr>Schedule 4</vt:lpstr>
      <vt:lpstr>Schedule 5</vt:lpstr>
      <vt:lpstr>Fund 0888</vt:lpstr>
      <vt:lpstr>Fund 5085</vt:lpstr>
      <vt:lpstr>Fund 5084</vt:lpstr>
      <vt:lpstr>Fund 0666</vt:lpstr>
      <vt:lpstr>Fund 8093</vt:lpstr>
      <vt:lpstr>Fund 0802</vt:lpstr>
      <vt:lpstr>Fund 0001</vt:lpstr>
      <vt:lpstr>Schedule 7</vt:lpstr>
      <vt:lpstr>Footnotes to Schedule 7</vt:lpstr>
      <vt:lpstr>Schedule 8</vt:lpstr>
      <vt:lpstr>Data</vt:lpstr>
      <vt:lpstr>'Footnotes to Schedule 7'!Print_Area</vt:lpstr>
      <vt:lpstr>'Fund 0001'!Print_Area</vt:lpstr>
      <vt:lpstr>'Fund 0666'!Print_Area</vt:lpstr>
      <vt:lpstr>'Fund 0802'!Print_Area</vt:lpstr>
      <vt:lpstr>'Fund 0888'!Print_Area</vt:lpstr>
      <vt:lpstr>'Fund 5084'!Print_Area</vt:lpstr>
      <vt:lpstr>'Fund 5085'!Print_Area</vt:lpstr>
      <vt:lpstr>'Fund 8093'!Print_Area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2017-06-30T16:48:03Z</cp:lastPrinted>
  <dcterms:created xsi:type="dcterms:W3CDTF">2007-10-30T15:19:17Z</dcterms:created>
  <dcterms:modified xsi:type="dcterms:W3CDTF">2017-06-30T23:03:11Z</dcterms:modified>
</cp:coreProperties>
</file>