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aust1001fs01\share10011\Budget\SOBUDGET\_Protected_Data\MOF_Entry\MFR Workpapers - Current Month\MFR Data\2017_11\"/>
    </mc:Choice>
  </mc:AlternateContent>
  <bookViews>
    <workbookView xWindow="-12" yWindow="5988" windowWidth="24036" windowHeight="3792" tabRatio="873"/>
  </bookViews>
  <sheets>
    <sheet name="Schedule 1" sheetId="11" r:id="rId1"/>
    <sheet name="Schedule 1 Supplemental" sheetId="55" r:id="rId2"/>
    <sheet name="Schedule 2" sheetId="30" r:id="rId3"/>
    <sheet name="Schedule 3" sheetId="14" r:id="rId4"/>
    <sheet name="Schedule 4" sheetId="12" r:id="rId5"/>
    <sheet name="Schedule 5" sheetId="17" r:id="rId6"/>
    <sheet name="Fund 0888 " sheetId="84" r:id="rId7"/>
    <sheet name="Fund 5085" sheetId="85" r:id="rId8"/>
    <sheet name="Fund 5084" sheetId="86" r:id="rId9"/>
    <sheet name="Fund 0666 " sheetId="87" r:id="rId10"/>
    <sheet name="Fund 8093" sheetId="88" r:id="rId11"/>
    <sheet name="Fund 0802 " sheetId="89" r:id="rId12"/>
    <sheet name="Fund 0001" sheetId="90" r:id="rId13"/>
    <sheet name="Schedule 7" sheetId="18" r:id="rId14"/>
    <sheet name="Footnotes to Schedule 7" sheetId="19" state="hidden" r:id="rId15"/>
    <sheet name="Schedule 8" sheetId="26" r:id="rId16"/>
  </sheets>
  <definedNames>
    <definedName name="_1REPORT_1" localSheetId="13">#REF!</definedName>
    <definedName name="_3REPORT_1" localSheetId="6">#REF!</definedName>
    <definedName name="_3REPORT_1" localSheetId="1">#REF!</definedName>
    <definedName name="_3REPORT_1" localSheetId="2">#REF!</definedName>
    <definedName name="_3REPORT_1">#REF!</definedName>
    <definedName name="_xlnm._FilterDatabase" localSheetId="2" hidden="1">'Schedule 2'!$A$5:$N$41</definedName>
    <definedName name="_xlnm._FilterDatabase" localSheetId="3" hidden="1">'Schedule 3'!$A$5:$J$50</definedName>
    <definedName name="Capital" localSheetId="6">#REF!</definedName>
    <definedName name="Capital" localSheetId="1">#REF!</definedName>
    <definedName name="Capital" localSheetId="2">#REF!</definedName>
    <definedName name="Capital" localSheetId="13">#REF!</definedName>
    <definedName name="Capital">#REF!</definedName>
    <definedName name="Data">'Schedule 3'!$M$6:$M$44</definedName>
    <definedName name="FISCAL_YEAR" localSheetId="6">#REF!</definedName>
    <definedName name="FISCAL_YEAR" localSheetId="0">'Schedule 1'!#REF!</definedName>
    <definedName name="FISCAL_YEAR" localSheetId="1">#REF!</definedName>
    <definedName name="FISCAL_YEAR" localSheetId="2">#REF!</definedName>
    <definedName name="FISCAL_YEAR" localSheetId="3">'Schedule 3'!#REF!</definedName>
    <definedName name="FISCAL_YEAR" localSheetId="4">'Schedule 4'!#REF!</definedName>
    <definedName name="FISCAL_YEAR" localSheetId="5">'Schedule 5'!#REF!</definedName>
    <definedName name="FISCAL_YEAR" localSheetId="13">'Schedule 7'!#REF!</definedName>
    <definedName name="FISCAL_YEAR">#REF!</definedName>
    <definedName name="FISCAL_YEAR2" localSheetId="6">#REF!</definedName>
    <definedName name="FISCAL_YEAR2" localSheetId="0">'Schedule 1'!#REF!</definedName>
    <definedName name="FISCAL_YEAR2" localSheetId="2">#REF!</definedName>
    <definedName name="FISCAL_YEAR2" localSheetId="13">#REF!</definedName>
    <definedName name="FISCAL_YEAR2">#REF!</definedName>
    <definedName name="MOF_Link" localSheetId="2">#REF!</definedName>
    <definedName name="MOF_Link" localSheetId="13">#REF!</definedName>
    <definedName name="MOF_Link">#REF!</definedName>
    <definedName name="MOF_Link_Bud" localSheetId="2">#REF!</definedName>
    <definedName name="MOF_Link_Bud" localSheetId="13">#REF!</definedName>
    <definedName name="MOF_Link_Bud">#REF!</definedName>
    <definedName name="MOF_Link_Exp" localSheetId="2">#REF!</definedName>
    <definedName name="MOF_Link_Exp" localSheetId="13">#REF!</definedName>
    <definedName name="MOF_Link_Exp">#REF!</definedName>
    <definedName name="NvsASD" localSheetId="0">"V2009-03-31"</definedName>
    <definedName name="NvsASD" localSheetId="3">"V2009-03-31"</definedName>
    <definedName name="NvsASD" localSheetId="4">"V2009-03-31"</definedName>
    <definedName name="NvsASD" localSheetId="5">"V2009-03-31"</definedName>
    <definedName name="NvsASD" localSheetId="13">"V2008-12-31"</definedName>
    <definedName name="NvsASD">"V2009-02-28"</definedName>
    <definedName name="NvsAutoDrillOk">"VN"</definedName>
    <definedName name="NvsElapsedTime" localSheetId="12">0.0000347222230629995</definedName>
    <definedName name="NvsElapsedTime" localSheetId="9">0.0000347222230629995</definedName>
    <definedName name="NvsElapsedTime" localSheetId="11">0.0000115740695036948</definedName>
    <definedName name="NvsElapsedTime" localSheetId="8">0.0000694444461259991</definedName>
    <definedName name="NvsElapsedTime" localSheetId="7">0.0000694444461259991</definedName>
    <definedName name="NvsElapsedTime" localSheetId="10">0.0000347222230629995</definedName>
    <definedName name="NvsElapsedTime" localSheetId="0">0.0000925925996853039</definedName>
    <definedName name="NvsElapsedTime" localSheetId="3">0.00844907407736173</definedName>
    <definedName name="NvsElapsedTime" localSheetId="4">0.0000231481462833472</definedName>
    <definedName name="NvsElapsedTime" localSheetId="5">0.0000231481462833472</definedName>
    <definedName name="NvsElapsedTime" localSheetId="13">0.0000231481462833472</definedName>
    <definedName name="NvsElapsedTime">0.0000347222230629995</definedName>
    <definedName name="NvsEndTime" localSheetId="12">40976.4375231481</definedName>
    <definedName name="NvsEndTime" localSheetId="9">40976.437974537</definedName>
    <definedName name="NvsEndTime" localSheetId="11">40976.4384259259</definedName>
    <definedName name="NvsEndTime" localSheetId="8">40976.4362268519</definedName>
    <definedName name="NvsEndTime" localSheetId="7">40976.4352430556</definedName>
    <definedName name="NvsEndTime" localSheetId="10">40976.437974537</definedName>
    <definedName name="NvsEndTime" localSheetId="0">39939.4283333333</definedName>
    <definedName name="NvsEndTime" localSheetId="3">39939.461099537</definedName>
    <definedName name="NvsEndTime" localSheetId="4">39939.4408796296</definedName>
    <definedName name="NvsEndTime" localSheetId="5">39939.4408796296</definedName>
    <definedName name="NvsEndTime" localSheetId="13">39846.5348148148</definedName>
    <definedName name="NvsEndTime">39897.4423148148</definedName>
    <definedName name="NvsInstLang">"VENG"</definedName>
    <definedName name="NvsInstSpec" localSheetId="8">"%,FBUDGET_REF,TBUDGET_REF,NALL"</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2">"M"</definedName>
    <definedName name="NvsSheetType" localSheetId="9">"M"</definedName>
    <definedName name="NvsSheetType" localSheetId="11">"M"</definedName>
    <definedName name="NvsSheetType" localSheetId="6">"M"</definedName>
    <definedName name="NvsSheetType" localSheetId="8">"M"</definedName>
    <definedName name="NvsSheetType" localSheetId="7">"M"</definedName>
    <definedName name="NvsSheetType" localSheetId="10">"M"</definedName>
    <definedName name="NvsSheetType" localSheetId="0">"M"</definedName>
    <definedName name="NvsSheetType" localSheetId="2">"M"</definedName>
    <definedName name="NvsSheetType" localSheetId="3">"M"</definedName>
    <definedName name="NvsSheetType" localSheetId="4">"M"</definedName>
    <definedName name="NvsSheetType" localSheetId="5">"M"</definedName>
    <definedName name="NvsSheetType" localSheetId="13">"M"</definedName>
    <definedName name="NvsTransLed">"VN"</definedName>
    <definedName name="NvsTreeASD" localSheetId="0">"V2009-03-31"</definedName>
    <definedName name="NvsTreeASD" localSheetId="3">"V2009-03-31"</definedName>
    <definedName name="NvsTreeASD" localSheetId="4">"V2009-03-31"</definedName>
    <definedName name="NvsTreeASD" localSheetId="5">"V2009-03-31"</definedName>
    <definedName name="NvsTreeASD" localSheetId="13">"V2008-12-31"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6">#REF!</definedName>
    <definedName name="PERIOD_ENDING" localSheetId="0">'Schedule 1'!#REF!</definedName>
    <definedName name="PERIOD_ENDING" localSheetId="1">#REF!</definedName>
    <definedName name="PERIOD_ENDING" localSheetId="2">#REF!</definedName>
    <definedName name="PERIOD_ENDING" localSheetId="3">'Schedule 3'!#REF!</definedName>
    <definedName name="PERIOD_ENDING" localSheetId="4">'Schedule 4'!#REF!</definedName>
    <definedName name="PERIOD_ENDING" localSheetId="5">'Schedule 5'!#REF!</definedName>
    <definedName name="PERIOD_ENDING" localSheetId="13">'Schedule 7'!#REF!</definedName>
    <definedName name="PERIOD_ENDING">#REF!</definedName>
    <definedName name="PERIOD_ENDING2" localSheetId="6">#REF!</definedName>
    <definedName name="PERIOD_ENDING2" localSheetId="0">'Schedule 1'!#REF!</definedName>
    <definedName name="PERIOD_ENDING2" localSheetId="2">#REF!</definedName>
    <definedName name="PERIOD_ENDING2" localSheetId="13">#REF!</definedName>
    <definedName name="PERIOD_ENDING2">#REF!</definedName>
    <definedName name="_xlnm.Print_Area" localSheetId="14">'Footnotes to Schedule 7'!$A$1:$C$15</definedName>
    <definedName name="_xlnm.Print_Area" localSheetId="12">'Fund 0001'!$A$1:$N$27</definedName>
    <definedName name="_xlnm.Print_Area" localSheetId="9">'Fund 0666 '!$A$1:$N$31</definedName>
    <definedName name="_xlnm.Print_Area" localSheetId="11">'Fund 0802 '!$A$1:$N$30</definedName>
    <definedName name="_xlnm.Print_Area" localSheetId="6">'Fund 0888 '!$A$1:$N$35</definedName>
    <definedName name="_xlnm.Print_Area" localSheetId="8">'Fund 5084'!$A$1:$N$42</definedName>
    <definedName name="_xlnm.Print_Area" localSheetId="7">'Fund 5085'!$A$1:$N$35</definedName>
    <definedName name="_xlnm.Print_Area" localSheetId="10">'Fund 8093'!$A$1:$N$28</definedName>
    <definedName name="_xlnm.Print_Area" localSheetId="0">'Schedule 1'!$A$1:$L$56</definedName>
    <definedName name="_xlnm.Print_Area" localSheetId="2">'Schedule 2'!$A$1:$H$47</definedName>
    <definedName name="_xlnm.Print_Area" localSheetId="3">'Schedule 3'!$A$1:$J$56</definedName>
    <definedName name="_xlnm.Print_Area" localSheetId="4">'Schedule 4'!$A$1:$N$44</definedName>
    <definedName name="_xlnm.Print_Area" localSheetId="5">'Schedule 5'!$A$1:$N$46</definedName>
    <definedName name="_xlnm.Print_Area" localSheetId="13">'Schedule 7'!$A$1:$L$37</definedName>
    <definedName name="_xlnm.Print_Area" localSheetId="15">'Schedule 8'!$A$1:$G$26</definedName>
    <definedName name="_xlnm.Print_Titles" localSheetId="0">'Schedule 1'!$1:$3</definedName>
    <definedName name="_xlnm.Print_Titles" localSheetId="1">'Schedule 1 Supplemental'!$A:$B</definedName>
    <definedName name="_xlnm.Print_Titles" localSheetId="2">'Schedule 2'!$1:$3</definedName>
    <definedName name="_xlnm.Print_Titles" localSheetId="3">'Schedule 3'!$1:$3</definedName>
    <definedName name="_xlnm.Print_Titles" localSheetId="4">'Schedule 4'!$1:$5</definedName>
    <definedName name="_xlnm.Print_Titles" localSheetId="5">'Schedule 5'!$1:$4</definedName>
    <definedName name="REPORT" localSheetId="6">#REF!</definedName>
    <definedName name="REPORT" localSheetId="1">#REF!</definedName>
    <definedName name="REPORT" localSheetId="2">#REF!</definedName>
    <definedName name="REPORT" localSheetId="13">#REF!</definedName>
    <definedName name="REPORT">#REF!</definedName>
    <definedName name="TCM">#REF!</definedName>
    <definedName name="Z_46622DE0_E91A_4302_BCA7_5EE9B6F39336_.wvu.Rows" localSheetId="13" hidden="1">'Schedule 7'!$22:$23</definedName>
    <definedName name="Z_8F8E0CD0_CBCE_40E8_A79C_FFB34B5A61AC_.wvu.Rows" localSheetId="13" hidden="1">'Schedule 7'!$22:$23</definedName>
  </definedNames>
  <calcPr calcId="152511"/>
</workbook>
</file>

<file path=xl/calcChain.xml><?xml version="1.0" encoding="utf-8"?>
<calcChain xmlns="http://schemas.openxmlformats.org/spreadsheetml/2006/main">
  <c r="E21" i="55" l="1"/>
  <c r="P21" i="55"/>
  <c r="Q21" i="55"/>
  <c r="R21" i="55"/>
  <c r="S21" i="55"/>
  <c r="T21" i="55"/>
  <c r="U21" i="55"/>
  <c r="V21" i="55"/>
  <c r="W21" i="55"/>
  <c r="X21" i="55"/>
  <c r="Y21" i="55"/>
  <c r="Z21" i="55"/>
  <c r="AA21" i="55"/>
  <c r="AB21" i="55"/>
  <c r="AC21" i="55"/>
  <c r="AD21" i="55"/>
  <c r="AE16" i="55"/>
  <c r="C21" i="55" l="1"/>
  <c r="C25" i="55" s="1"/>
  <c r="F22" i="26" l="1"/>
  <c r="F21" i="26"/>
  <c r="F20" i="26"/>
  <c r="F19" i="26"/>
  <c r="F18" i="26"/>
  <c r="F17" i="26"/>
  <c r="F16" i="26"/>
  <c r="F15" i="26"/>
  <c r="F14" i="26"/>
  <c r="F13" i="26"/>
  <c r="F12" i="26"/>
  <c r="F11" i="26"/>
  <c r="F10" i="26"/>
  <c r="A10" i="26"/>
  <c r="A11" i="26" s="1"/>
  <c r="A12" i="26" s="1"/>
  <c r="A13" i="26" s="1"/>
  <c r="A14" i="26" s="1"/>
  <c r="A15" i="26" s="1"/>
  <c r="A16" i="26" s="1"/>
  <c r="A17" i="26" s="1"/>
  <c r="A18" i="26" s="1"/>
  <c r="A19" i="26" s="1"/>
  <c r="A20" i="26" s="1"/>
  <c r="A21" i="26" s="1"/>
  <c r="A22" i="26" s="1"/>
  <c r="F9" i="26"/>
  <c r="A9" i="26"/>
  <c r="F8" i="26"/>
  <c r="D41" i="30" l="1"/>
  <c r="G40" i="30"/>
  <c r="G41" i="30" s="1"/>
  <c r="F40" i="30"/>
  <c r="E40" i="30"/>
  <c r="D40" i="30"/>
  <c r="C40" i="30"/>
  <c r="C41" i="30" s="1"/>
  <c r="H39" i="30"/>
  <c r="H40" i="30" s="1"/>
  <c r="G38" i="30"/>
  <c r="F38" i="30"/>
  <c r="F41" i="30" s="1"/>
  <c r="E38" i="30"/>
  <c r="D38" i="30"/>
  <c r="C38" i="30"/>
  <c r="H37" i="30"/>
  <c r="H36" i="30"/>
  <c r="H35" i="30"/>
  <c r="H34" i="30"/>
  <c r="H38" i="30" s="1"/>
  <c r="H33" i="30"/>
  <c r="G33" i="30"/>
  <c r="F33" i="30"/>
  <c r="E33" i="30"/>
  <c r="D33" i="30"/>
  <c r="C33" i="30"/>
  <c r="H32" i="30"/>
  <c r="G31" i="30"/>
  <c r="F31" i="30"/>
  <c r="E31" i="30"/>
  <c r="D31" i="30"/>
  <c r="C31" i="30"/>
  <c r="H30" i="30"/>
  <c r="H29" i="30"/>
  <c r="H28" i="30"/>
  <c r="H31" i="30" s="1"/>
  <c r="G27" i="30"/>
  <c r="F27" i="30"/>
  <c r="E27" i="30"/>
  <c r="E41" i="30" s="1"/>
  <c r="D27" i="30"/>
  <c r="C27" i="30"/>
  <c r="H26" i="30"/>
  <c r="H25" i="30"/>
  <c r="H24" i="30"/>
  <c r="H27" i="30" s="1"/>
  <c r="H23" i="30"/>
  <c r="H22" i="30"/>
  <c r="H21" i="30"/>
  <c r="G20" i="30"/>
  <c r="F20" i="30"/>
  <c r="E20" i="30"/>
  <c r="D20" i="30"/>
  <c r="C20" i="30"/>
  <c r="H19" i="30"/>
  <c r="H18" i="30"/>
  <c r="H17" i="30"/>
  <c r="H16" i="30"/>
  <c r="H15" i="30"/>
  <c r="H14" i="30"/>
  <c r="H13" i="30"/>
  <c r="H12" i="30"/>
  <c r="H11" i="30"/>
  <c r="H10" i="30"/>
  <c r="H9" i="30"/>
  <c r="H8" i="30"/>
  <c r="H20" i="30" s="1"/>
  <c r="G7" i="30"/>
  <c r="F7" i="30"/>
  <c r="E7" i="30"/>
  <c r="D7" i="30"/>
  <c r="C7" i="30"/>
  <c r="H6" i="30"/>
  <c r="H7" i="30" s="1"/>
  <c r="A32" i="26"/>
  <c r="A33" i="26"/>
  <c r="A34" i="26"/>
  <c r="H41" i="30" l="1"/>
  <c r="A3" i="90"/>
  <c r="E7" i="90"/>
  <c r="F7" i="90"/>
  <c r="G7" i="90"/>
  <c r="H7" i="90"/>
  <c r="I7" i="90"/>
  <c r="J7" i="90"/>
  <c r="K7" i="90"/>
  <c r="L7" i="90"/>
  <c r="M7" i="90"/>
  <c r="N7" i="90"/>
  <c r="C9" i="90"/>
  <c r="N13" i="90"/>
  <c r="N14" i="90"/>
  <c r="N15" i="90"/>
  <c r="N18" i="90" s="1"/>
  <c r="B18" i="90"/>
  <c r="B27" i="90" s="1"/>
  <c r="C18" i="90"/>
  <c r="D18" i="90"/>
  <c r="E18" i="90"/>
  <c r="F18" i="90"/>
  <c r="G18" i="90"/>
  <c r="H18" i="90"/>
  <c r="I18" i="90"/>
  <c r="J18" i="90"/>
  <c r="K18" i="90"/>
  <c r="L18" i="90"/>
  <c r="M18" i="90"/>
  <c r="N22" i="90"/>
  <c r="B25" i="90"/>
  <c r="C25" i="90"/>
  <c r="D25" i="90"/>
  <c r="E25" i="90"/>
  <c r="F25" i="90"/>
  <c r="G25" i="90"/>
  <c r="H25" i="90"/>
  <c r="I25" i="90"/>
  <c r="J25" i="90"/>
  <c r="K25" i="90"/>
  <c r="L25" i="90"/>
  <c r="M25" i="90"/>
  <c r="A3" i="89"/>
  <c r="E7" i="89"/>
  <c r="F7" i="89"/>
  <c r="G7" i="89"/>
  <c r="H7" i="89"/>
  <c r="I7" i="89"/>
  <c r="J7" i="89"/>
  <c r="K7" i="89"/>
  <c r="L7" i="89"/>
  <c r="M7" i="89"/>
  <c r="C9" i="89"/>
  <c r="C16" i="89" s="1"/>
  <c r="C20" i="89" s="1"/>
  <c r="C23" i="89" s="1"/>
  <c r="D9" i="89"/>
  <c r="E9" i="89"/>
  <c r="N9" i="89"/>
  <c r="N13" i="89"/>
  <c r="B16" i="89"/>
  <c r="B20" i="89"/>
  <c r="A3" i="88"/>
  <c r="E7" i="88"/>
  <c r="F7" i="88"/>
  <c r="G7" i="88"/>
  <c r="H7" i="88"/>
  <c r="I7" i="88"/>
  <c r="J7" i="88"/>
  <c r="K7" i="88"/>
  <c r="L7" i="88"/>
  <c r="M7" i="88"/>
  <c r="C9" i="88"/>
  <c r="D9" i="88"/>
  <c r="N9" i="88"/>
  <c r="N13" i="88"/>
  <c r="B16" i="88"/>
  <c r="B20" i="88" s="1"/>
  <c r="C16" i="88"/>
  <c r="D16" i="88"/>
  <c r="E16" i="88"/>
  <c r="E20" i="88" s="1"/>
  <c r="E23" i="88" s="1"/>
  <c r="F16" i="88"/>
  <c r="F20" i="88" s="1"/>
  <c r="F23" i="88" s="1"/>
  <c r="G16" i="88"/>
  <c r="G20" i="88" s="1"/>
  <c r="G23" i="88" s="1"/>
  <c r="H16" i="88"/>
  <c r="H20" i="88" s="1"/>
  <c r="I16" i="88"/>
  <c r="I20" i="88" s="1"/>
  <c r="I23" i="88" s="1"/>
  <c r="J16" i="88"/>
  <c r="J20" i="88" s="1"/>
  <c r="J23" i="88" s="1"/>
  <c r="K16" i="88"/>
  <c r="K20" i="88" s="1"/>
  <c r="K23" i="88" s="1"/>
  <c r="L16" i="88"/>
  <c r="L20" i="88" s="1"/>
  <c r="L23" i="88" s="1"/>
  <c r="M16" i="88"/>
  <c r="M20" i="88" s="1"/>
  <c r="M23" i="88" s="1"/>
  <c r="C20" i="88"/>
  <c r="C23" i="88" s="1"/>
  <c r="D20" i="88"/>
  <c r="D23" i="88" s="1"/>
  <c r="H23" i="88"/>
  <c r="A3" i="87"/>
  <c r="D7" i="87"/>
  <c r="E7" i="87"/>
  <c r="F7" i="87"/>
  <c r="G7" i="87"/>
  <c r="H7" i="87"/>
  <c r="I7" i="87"/>
  <c r="J7" i="87"/>
  <c r="K7" i="87"/>
  <c r="L7" i="87"/>
  <c r="M7" i="87"/>
  <c r="C9" i="87"/>
  <c r="D9" i="87" s="1"/>
  <c r="N9" i="87"/>
  <c r="N13" i="87"/>
  <c r="N14" i="87"/>
  <c r="N15" i="87"/>
  <c r="N16" i="87"/>
  <c r="N17" i="87"/>
  <c r="N18" i="87"/>
  <c r="B20" i="87"/>
  <c r="C20" i="87"/>
  <c r="C24" i="87" s="1"/>
  <c r="C27" i="87" s="1"/>
  <c r="D20" i="87"/>
  <c r="D24" i="87" s="1"/>
  <c r="D27" i="87" s="1"/>
  <c r="E20" i="87"/>
  <c r="F20" i="87"/>
  <c r="G20" i="87"/>
  <c r="G24" i="87" s="1"/>
  <c r="G27" i="87" s="1"/>
  <c r="H20" i="87"/>
  <c r="H24" i="87" s="1"/>
  <c r="H27" i="87" s="1"/>
  <c r="I20" i="87"/>
  <c r="I24" i="87" s="1"/>
  <c r="I27" i="87" s="1"/>
  <c r="J20" i="87"/>
  <c r="J24" i="87" s="1"/>
  <c r="J27" i="87" s="1"/>
  <c r="K20" i="87"/>
  <c r="K24" i="87" s="1"/>
  <c r="K27" i="87" s="1"/>
  <c r="L20" i="87"/>
  <c r="L24" i="87" s="1"/>
  <c r="L27" i="87" s="1"/>
  <c r="M20" i="87"/>
  <c r="M24" i="87" s="1"/>
  <c r="M27" i="87" s="1"/>
  <c r="E24" i="87"/>
  <c r="E27" i="87" s="1"/>
  <c r="F24" i="87"/>
  <c r="F27" i="87" s="1"/>
  <c r="A3" i="86"/>
  <c r="E7" i="86"/>
  <c r="F7" i="86"/>
  <c r="G7" i="86"/>
  <c r="H7" i="86"/>
  <c r="I7" i="86"/>
  <c r="J7" i="86"/>
  <c r="K7" i="86"/>
  <c r="L7" i="86"/>
  <c r="M7" i="86"/>
  <c r="C9" i="86"/>
  <c r="D9" i="86"/>
  <c r="E9" i="86"/>
  <c r="F9" i="86"/>
  <c r="F37" i="86" s="1"/>
  <c r="G9" i="86"/>
  <c r="G37" i="86" s="1"/>
  <c r="N9" i="86"/>
  <c r="N13" i="86"/>
  <c r="N14" i="86"/>
  <c r="N15" i="86"/>
  <c r="N18" i="86"/>
  <c r="N19" i="86"/>
  <c r="N20" i="86"/>
  <c r="B23" i="86"/>
  <c r="C23" i="86"/>
  <c r="D23" i="86"/>
  <c r="E23" i="86"/>
  <c r="E37" i="86" s="1"/>
  <c r="F23" i="86"/>
  <c r="G23" i="86"/>
  <c r="H23" i="86"/>
  <c r="I23" i="86"/>
  <c r="J23" i="86"/>
  <c r="K23" i="86"/>
  <c r="L23" i="86"/>
  <c r="M23" i="86"/>
  <c r="N27" i="86"/>
  <c r="N28" i="86"/>
  <c r="N29" i="86"/>
  <c r="N30" i="86"/>
  <c r="N35" i="86" s="1"/>
  <c r="N31" i="86"/>
  <c r="N32" i="86"/>
  <c r="B35" i="86"/>
  <c r="B37" i="86" s="1"/>
  <c r="C35" i="86"/>
  <c r="D35" i="86"/>
  <c r="E35" i="86"/>
  <c r="F35" i="86"/>
  <c r="G35" i="86"/>
  <c r="H35" i="86"/>
  <c r="I35" i="86"/>
  <c r="J35" i="86"/>
  <c r="K35" i="86"/>
  <c r="L35" i="86"/>
  <c r="M35" i="86"/>
  <c r="C37" i="86"/>
  <c r="D37" i="86"/>
  <c r="A3" i="85"/>
  <c r="E7" i="85"/>
  <c r="F7" i="85"/>
  <c r="G7" i="85"/>
  <c r="H7" i="85"/>
  <c r="I7" i="85"/>
  <c r="J7" i="85"/>
  <c r="K7" i="85"/>
  <c r="L7" i="85"/>
  <c r="M7" i="85"/>
  <c r="N7" i="85"/>
  <c r="C9" i="85"/>
  <c r="D9" i="85"/>
  <c r="E9" i="85"/>
  <c r="F9" i="85"/>
  <c r="G9" i="85"/>
  <c r="H9" i="85"/>
  <c r="I9" i="85" s="1"/>
  <c r="N13" i="85"/>
  <c r="N14" i="85"/>
  <c r="N15" i="85"/>
  <c r="N16" i="85"/>
  <c r="N17" i="85"/>
  <c r="B23" i="85"/>
  <c r="C23" i="85"/>
  <c r="D23" i="85"/>
  <c r="E23" i="85"/>
  <c r="E33" i="85" s="1"/>
  <c r="F23" i="85"/>
  <c r="F33" i="85" s="1"/>
  <c r="G23" i="85"/>
  <c r="N27" i="85"/>
  <c r="N31" i="85" s="1"/>
  <c r="N28" i="85"/>
  <c r="B31" i="85"/>
  <c r="C31" i="85"/>
  <c r="D31" i="85"/>
  <c r="E31" i="85"/>
  <c r="F31" i="85"/>
  <c r="G31" i="85"/>
  <c r="H31" i="85"/>
  <c r="I31" i="85"/>
  <c r="J31" i="85"/>
  <c r="K31" i="85"/>
  <c r="L31" i="85"/>
  <c r="M31" i="85"/>
  <c r="B33" i="85"/>
  <c r="C33" i="85"/>
  <c r="D33" i="85"/>
  <c r="A3" i="84"/>
  <c r="R4" i="84"/>
  <c r="R5" i="84"/>
  <c r="R6" i="84"/>
  <c r="J7" i="84"/>
  <c r="S7" i="84"/>
  <c r="S8" i="84"/>
  <c r="R8" i="84" s="1"/>
  <c r="N7" i="84" s="1"/>
  <c r="C9" i="84"/>
  <c r="D9" i="84"/>
  <c r="E9" i="84" s="1"/>
  <c r="F9" i="84" s="1"/>
  <c r="G9" i="84" s="1"/>
  <c r="G20" i="84" s="1"/>
  <c r="H9" i="84"/>
  <c r="H20" i="84" s="1"/>
  <c r="I9" i="84"/>
  <c r="I20" i="84" s="1"/>
  <c r="J9" i="84"/>
  <c r="R9" i="84"/>
  <c r="S10" i="84"/>
  <c r="N13" i="84"/>
  <c r="N20" i="84" s="1"/>
  <c r="N29" i="84" s="1"/>
  <c r="N14" i="84"/>
  <c r="N15" i="84"/>
  <c r="N16" i="84"/>
  <c r="B20" i="84"/>
  <c r="C20" i="84"/>
  <c r="D20" i="84"/>
  <c r="D29" i="84" s="1"/>
  <c r="E20" i="84"/>
  <c r="E29" i="84" s="1"/>
  <c r="F20" i="84"/>
  <c r="F29" i="84" s="1"/>
  <c r="N24" i="84"/>
  <c r="B27" i="84"/>
  <c r="C27" i="84"/>
  <c r="D27" i="84"/>
  <c r="E27" i="84"/>
  <c r="F27" i="84"/>
  <c r="G27" i="84"/>
  <c r="H27" i="84"/>
  <c r="I27" i="84"/>
  <c r="J27" i="84"/>
  <c r="K27" i="84"/>
  <c r="L27" i="84"/>
  <c r="M27" i="84"/>
  <c r="N27" i="84"/>
  <c r="B29" i="84"/>
  <c r="C29" i="84"/>
  <c r="I29" i="84"/>
  <c r="N25" i="90" l="1"/>
  <c r="N27" i="90" s="1"/>
  <c r="C25" i="88"/>
  <c r="D29" i="87"/>
  <c r="C29" i="87"/>
  <c r="E9" i="87"/>
  <c r="I23" i="85"/>
  <c r="I33" i="85" s="1"/>
  <c r="J9" i="85"/>
  <c r="K7" i="84"/>
  <c r="F7" i="84"/>
  <c r="L7" i="84"/>
  <c r="M7" i="84"/>
  <c r="G7" i="84"/>
  <c r="D25" i="88"/>
  <c r="D7" i="90"/>
  <c r="D7" i="85"/>
  <c r="D7" i="89"/>
  <c r="D7" i="88"/>
  <c r="N6" i="84"/>
  <c r="N23" i="86"/>
  <c r="N37" i="86" s="1"/>
  <c r="R10" i="84"/>
  <c r="H23" i="85"/>
  <c r="H33" i="85" s="1"/>
  <c r="D7" i="86"/>
  <c r="N7" i="88"/>
  <c r="N7" i="87"/>
  <c r="N7" i="86"/>
  <c r="N7" i="89"/>
  <c r="R7" i="84"/>
  <c r="G33" i="85"/>
  <c r="H9" i="86"/>
  <c r="K9" i="84"/>
  <c r="J20" i="84"/>
  <c r="J29" i="84" s="1"/>
  <c r="D9" i="90"/>
  <c r="C27" i="90"/>
  <c r="I7" i="84"/>
  <c r="H29" i="84"/>
  <c r="N20" i="87"/>
  <c r="B24" i="87"/>
  <c r="F9" i="89"/>
  <c r="E16" i="89"/>
  <c r="E20" i="89" s="1"/>
  <c r="E23" i="89" s="1"/>
  <c r="N20" i="88"/>
  <c r="N23" i="88" s="1"/>
  <c r="B23" i="88"/>
  <c r="B25" i="88" s="1"/>
  <c r="B23" i="89"/>
  <c r="B25" i="89" s="1"/>
  <c r="H7" i="84"/>
  <c r="G29" i="84"/>
  <c r="N16" i="88"/>
  <c r="E9" i="88"/>
  <c r="D16" i="89"/>
  <c r="D20" i="89" s="1"/>
  <c r="D23" i="89" s="1"/>
  <c r="C25" i="89"/>
  <c r="N25" i="88" l="1"/>
  <c r="E29" i="87"/>
  <c r="F9" i="87"/>
  <c r="K20" i="84"/>
  <c r="K29" i="84" s="1"/>
  <c r="L9" i="84"/>
  <c r="I9" i="86"/>
  <c r="H37" i="86"/>
  <c r="D25" i="89"/>
  <c r="G9" i="89"/>
  <c r="F16" i="89"/>
  <c r="E9" i="90"/>
  <c r="D27" i="90"/>
  <c r="N6" i="87"/>
  <c r="N6" i="90"/>
  <c r="N6" i="85"/>
  <c r="N6" i="86"/>
  <c r="N6" i="88"/>
  <c r="N6" i="89"/>
  <c r="N24" i="87"/>
  <c r="N27" i="87" s="1"/>
  <c r="N29" i="87" s="1"/>
  <c r="B27" i="87"/>
  <c r="B29" i="87" s="1"/>
  <c r="F9" i="88"/>
  <c r="E25" i="88"/>
  <c r="B7" i="89"/>
  <c r="B7" i="88"/>
  <c r="C7" i="84"/>
  <c r="B7" i="85"/>
  <c r="C7" i="89"/>
  <c r="C7" i="88"/>
  <c r="D7" i="84"/>
  <c r="B7" i="87"/>
  <c r="B7" i="90"/>
  <c r="E7" i="84"/>
  <c r="C7" i="90"/>
  <c r="C7" i="85"/>
  <c r="B7" i="86"/>
  <c r="B7" i="84"/>
  <c r="C7" i="86"/>
  <c r="C7" i="87"/>
  <c r="K9" i="85"/>
  <c r="J23" i="85"/>
  <c r="J33" i="85" s="1"/>
  <c r="E25" i="89"/>
  <c r="AE24" i="55"/>
  <c r="AE23" i="55"/>
  <c r="AE22" i="55"/>
  <c r="AE20" i="55"/>
  <c r="F29" i="87" l="1"/>
  <c r="G9" i="87"/>
  <c r="F20" i="89"/>
  <c r="H9" i="89"/>
  <c r="G16" i="89"/>
  <c r="G20" i="89" s="1"/>
  <c r="G23" i="89" s="1"/>
  <c r="G25" i="89"/>
  <c r="L9" i="85"/>
  <c r="K23" i="85"/>
  <c r="K33" i="85" s="1"/>
  <c r="G9" i="88"/>
  <c r="F25" i="88"/>
  <c r="J9" i="86"/>
  <c r="I37" i="86"/>
  <c r="M9" i="84"/>
  <c r="M20" i="84" s="1"/>
  <c r="M29" i="84" s="1"/>
  <c r="N9" i="84" s="1"/>
  <c r="L20" i="84"/>
  <c r="L29" i="84" s="1"/>
  <c r="F9" i="90"/>
  <c r="E27" i="90"/>
  <c r="F21" i="55"/>
  <c r="D21" i="55"/>
  <c r="G21" i="55"/>
  <c r="H21" i="55"/>
  <c r="I21" i="55"/>
  <c r="J21" i="55"/>
  <c r="K21" i="55"/>
  <c r="L21" i="55"/>
  <c r="M21" i="55"/>
  <c r="N21" i="55"/>
  <c r="O21" i="55"/>
  <c r="H9" i="87" l="1"/>
  <c r="G29" i="87"/>
  <c r="K9" i="86"/>
  <c r="J37" i="86"/>
  <c r="H16" i="89"/>
  <c r="H20" i="89" s="1"/>
  <c r="H23" i="89" s="1"/>
  <c r="I9" i="89"/>
  <c r="H25" i="89"/>
  <c r="H9" i="88"/>
  <c r="G25" i="88"/>
  <c r="G9" i="90"/>
  <c r="F27" i="90"/>
  <c r="M9" i="85"/>
  <c r="M23" i="85" s="1"/>
  <c r="M33" i="85" s="1"/>
  <c r="N9" i="85" s="1"/>
  <c r="N23" i="85" s="1"/>
  <c r="N33" i="85" s="1"/>
  <c r="L23" i="85"/>
  <c r="L33" i="85" s="1"/>
  <c r="F23" i="89"/>
  <c r="F25" i="89" s="1"/>
  <c r="AE21" i="55"/>
  <c r="I9" i="87" l="1"/>
  <c r="H29" i="87"/>
  <c r="AE25" i="55"/>
  <c r="I9" i="88"/>
  <c r="H25" i="88"/>
  <c r="J9" i="89"/>
  <c r="I16" i="89"/>
  <c r="H9" i="90"/>
  <c r="G27" i="90"/>
  <c r="L9" i="86"/>
  <c r="K37" i="86"/>
  <c r="I29" i="87" l="1"/>
  <c r="J9" i="87"/>
  <c r="M9" i="86"/>
  <c r="M37" i="86" s="1"/>
  <c r="L37" i="86"/>
  <c r="I9" i="90"/>
  <c r="H27" i="90"/>
  <c r="I20" i="89"/>
  <c r="J16" i="89"/>
  <c r="J20" i="89" s="1"/>
  <c r="J23" i="89" s="1"/>
  <c r="K9" i="89"/>
  <c r="J9" i="88"/>
  <c r="I25" i="88"/>
  <c r="K9" i="87" l="1"/>
  <c r="J29" i="87"/>
  <c r="I23" i="89"/>
  <c r="I25" i="89" s="1"/>
  <c r="K9" i="88"/>
  <c r="J25" i="88"/>
  <c r="I27" i="90"/>
  <c r="J9" i="90"/>
  <c r="J25" i="89"/>
  <c r="K16" i="89"/>
  <c r="K20" i="89" s="1"/>
  <c r="K23" i="89" s="1"/>
  <c r="L9" i="89"/>
  <c r="AD25" i="55"/>
  <c r="L9" i="87" l="1"/>
  <c r="K29" i="87"/>
  <c r="K25" i="89"/>
  <c r="J27" i="90"/>
  <c r="K9" i="90"/>
  <c r="L9" i="88"/>
  <c r="K25" i="88"/>
  <c r="L16" i="89"/>
  <c r="L20" i="89" s="1"/>
  <c r="L23" i="89" s="1"/>
  <c r="M9" i="89"/>
  <c r="L29" i="87" l="1"/>
  <c r="M9" i="87"/>
  <c r="M29" i="87" s="1"/>
  <c r="L25" i="89"/>
  <c r="L9" i="90"/>
  <c r="K27" i="90"/>
  <c r="M16" i="89"/>
  <c r="L25" i="88"/>
  <c r="M9" i="88"/>
  <c r="M25" i="88" s="1"/>
  <c r="M20" i="89" l="1"/>
  <c r="N16" i="89"/>
  <c r="M9" i="90"/>
  <c r="L27" i="90"/>
  <c r="N9" i="90" l="1"/>
  <c r="M27" i="90"/>
  <c r="M23" i="89"/>
  <c r="M25" i="89" s="1"/>
  <c r="N20" i="89"/>
  <c r="N23" i="89" s="1"/>
  <c r="N25" i="89" s="1"/>
  <c r="AC25" i="55" l="1"/>
  <c r="AB25" i="55"/>
  <c r="AA25" i="55"/>
  <c r="Z25" i="55"/>
  <c r="Y25" i="55"/>
  <c r="X25" i="55"/>
  <c r="W25" i="55"/>
  <c r="V25" i="55"/>
  <c r="U25" i="55"/>
  <c r="T25" i="55"/>
  <c r="S25" i="55"/>
  <c r="R25" i="55"/>
  <c r="Q25" i="55"/>
  <c r="P25" i="55"/>
  <c r="O25" i="55"/>
  <c r="N25" i="55"/>
  <c r="M25" i="55"/>
  <c r="L25" i="55"/>
  <c r="K25" i="55"/>
  <c r="J25" i="55"/>
  <c r="I25" i="55"/>
  <c r="H25" i="55"/>
  <c r="G25" i="55"/>
  <c r="F25" i="55"/>
  <c r="E25" i="55"/>
  <c r="D25" i="55"/>
  <c r="AE19" i="55"/>
  <c r="AE18" i="55"/>
  <c r="AE17" i="55"/>
  <c r="AE15" i="55"/>
  <c r="AE14" i="55"/>
  <c r="AE13" i="55"/>
  <c r="AE12" i="55"/>
  <c r="AE11" i="55"/>
  <c r="AE10" i="55"/>
  <c r="AE9" i="55"/>
  <c r="AE8" i="55"/>
  <c r="AE7" i="55"/>
  <c r="AE6" i="55"/>
  <c r="C9" i="18" l="1"/>
  <c r="D8" i="11" l="1"/>
  <c r="D5" i="11"/>
  <c r="G7" i="11"/>
  <c r="G29" i="11"/>
  <c r="G53" i="11"/>
  <c r="G56" i="11" s="1"/>
  <c r="G34" i="11"/>
  <c r="G43" i="11"/>
  <c r="G21" i="11"/>
  <c r="G46" i="11" l="1"/>
  <c r="G48" i="11" s="1"/>
  <c r="K12" i="14" l="1"/>
  <c r="K14" i="14"/>
  <c r="K16" i="14"/>
  <c r="K18" i="14"/>
  <c r="K20" i="14"/>
  <c r="K49" i="14"/>
  <c r="K55" i="14"/>
  <c r="G21" i="18" l="1"/>
  <c r="G23" i="18" s="1"/>
  <c r="I21" i="18"/>
  <c r="I23" i="18" s="1"/>
  <c r="I28" i="18"/>
  <c r="I30" i="18" s="1"/>
  <c r="G28" i="18"/>
  <c r="G30" i="18" s="1"/>
  <c r="D20" i="18"/>
  <c r="M20" i="18" l="1"/>
  <c r="D39" i="11"/>
  <c r="D40" i="11"/>
  <c r="D41" i="11"/>
  <c r="D44" i="11"/>
  <c r="D38" i="11"/>
  <c r="D35" i="11"/>
  <c r="D31" i="11"/>
  <c r="D32" i="11"/>
  <c r="D30" i="11"/>
  <c r="D23" i="11"/>
  <c r="D24" i="11"/>
  <c r="D25" i="11"/>
  <c r="D26" i="11"/>
  <c r="D27" i="11"/>
  <c r="D22" i="11"/>
  <c r="D9" i="11"/>
  <c r="D10" i="11"/>
  <c r="D11" i="11"/>
  <c r="D12" i="11"/>
  <c r="D13" i="11"/>
  <c r="D14" i="11"/>
  <c r="D15" i="11"/>
  <c r="D16" i="11"/>
  <c r="D17" i="11"/>
  <c r="D18" i="11"/>
  <c r="D19" i="11"/>
  <c r="M50" i="11" l="1"/>
  <c r="M49" i="11"/>
  <c r="M47" i="11"/>
  <c r="M45" i="11"/>
  <c r="M42" i="11"/>
  <c r="M36" i="11"/>
  <c r="M33" i="11"/>
  <c r="M28" i="11"/>
  <c r="M20" i="11"/>
  <c r="M6" i="11"/>
  <c r="L28" i="18" l="1"/>
  <c r="C48" i="14" l="1"/>
  <c r="C9" i="19" l="1"/>
  <c r="C28" i="18" l="1"/>
  <c r="C15" i="19" l="1"/>
  <c r="C7" i="11" l="1"/>
  <c r="C21" i="11"/>
  <c r="C29" i="11"/>
  <c r="C34" i="11"/>
  <c r="C37" i="11"/>
  <c r="C43" i="11"/>
  <c r="C46" i="11"/>
  <c r="C53" i="11"/>
  <c r="C56" i="11" s="1"/>
  <c r="C48" i="11" l="1"/>
  <c r="C30" i="18"/>
  <c r="L30" i="18"/>
  <c r="M26" i="18"/>
  <c r="M25" i="18"/>
  <c r="M24" i="18"/>
  <c r="M22" i="18"/>
  <c r="C21" i="18"/>
  <c r="C23" i="18" s="1"/>
  <c r="C54" i="14"/>
  <c r="C17" i="14"/>
  <c r="C13" i="14"/>
  <c r="D43" i="11" l="1"/>
  <c r="D46" i="11"/>
  <c r="D7" i="11"/>
  <c r="D21" i="11"/>
  <c r="D34" i="11"/>
  <c r="D37" i="11"/>
  <c r="D29" i="11"/>
  <c r="C19" i="14"/>
  <c r="C56" i="14" s="1"/>
  <c r="D9" i="18" l="1"/>
  <c r="D19" i="18"/>
  <c r="D17" i="18"/>
  <c r="D12" i="18"/>
  <c r="D18" i="18"/>
  <c r="D15" i="18"/>
  <c r="M15" i="18" s="1"/>
  <c r="D10" i="18"/>
  <c r="D13" i="18"/>
  <c r="D14" i="18"/>
  <c r="M14" i="18" s="1"/>
  <c r="D11" i="18"/>
  <c r="D16" i="18"/>
  <c r="D48" i="11"/>
  <c r="M11" i="18" l="1"/>
  <c r="M17" i="18"/>
  <c r="M13" i="18"/>
  <c r="M16" i="18"/>
  <c r="M9" i="18"/>
  <c r="M18" i="18"/>
  <c r="M10" i="18"/>
  <c r="M12" i="18"/>
  <c r="M19" i="18"/>
  <c r="D8" i="18" l="1"/>
  <c r="D27" i="18"/>
  <c r="D28" i="18" s="1"/>
  <c r="D29" i="18"/>
  <c r="M29" i="18" s="1"/>
  <c r="D21" i="18" l="1"/>
  <c r="M8" i="18"/>
  <c r="M27" i="18"/>
  <c r="M28" i="18"/>
  <c r="D30" i="18"/>
  <c r="M30" i="18" l="1"/>
  <c r="M21" i="18"/>
  <c r="D23" i="18"/>
  <c r="M23" i="18" s="1"/>
  <c r="D51" i="14" l="1"/>
  <c r="K51" i="14" s="1"/>
  <c r="D22" i="12"/>
  <c r="D33" i="14"/>
  <c r="K33" i="14" s="1"/>
  <c r="D38" i="14"/>
  <c r="K38" i="14" s="1"/>
  <c r="C42" i="12"/>
  <c r="L32" i="12"/>
  <c r="N32" i="12" s="1"/>
  <c r="M31" i="11"/>
  <c r="L31" i="11"/>
  <c r="J10" i="14"/>
  <c r="C29" i="12"/>
  <c r="M22" i="17"/>
  <c r="H48" i="14"/>
  <c r="L18" i="12"/>
  <c r="N18" i="12" s="1"/>
  <c r="M9" i="12"/>
  <c r="G35" i="17"/>
  <c r="L25" i="12"/>
  <c r="N25" i="12" s="1"/>
  <c r="E33" i="12"/>
  <c r="L30" i="12"/>
  <c r="L39" i="17"/>
  <c r="N39" i="17" s="1"/>
  <c r="J44" i="14"/>
  <c r="L8" i="17"/>
  <c r="L9" i="17" s="1"/>
  <c r="E9" i="17"/>
  <c r="L11" i="17"/>
  <c r="N11" i="17" s="1"/>
  <c r="I9" i="17"/>
  <c r="H17" i="14"/>
  <c r="J28" i="14"/>
  <c r="G22" i="12"/>
  <c r="M41" i="11"/>
  <c r="L41" i="11"/>
  <c r="D51" i="11"/>
  <c r="M51" i="11" s="1"/>
  <c r="I53" i="11"/>
  <c r="L51" i="11"/>
  <c r="F40" i="12"/>
  <c r="D52" i="14"/>
  <c r="K52" i="14" s="1"/>
  <c r="L25" i="17"/>
  <c r="N25" i="17" s="1"/>
  <c r="D42" i="12"/>
  <c r="L9" i="11"/>
  <c r="M9" i="11"/>
  <c r="D22" i="14"/>
  <c r="K22" i="14" s="1"/>
  <c r="D9" i="14"/>
  <c r="K9" i="14" s="1"/>
  <c r="H29" i="12"/>
  <c r="K33" i="12"/>
  <c r="C35" i="12"/>
  <c r="N34" i="12"/>
  <c r="N35" i="12" s="1"/>
  <c r="J7" i="11"/>
  <c r="K29" i="17"/>
  <c r="D25" i="14"/>
  <c r="K25" i="14" s="1"/>
  <c r="L13" i="11"/>
  <c r="M13" i="11"/>
  <c r="I40" i="12"/>
  <c r="D39" i="14"/>
  <c r="K39" i="14" s="1"/>
  <c r="G40" i="12"/>
  <c r="L13" i="17"/>
  <c r="N13" i="17" s="1"/>
  <c r="D32" i="14"/>
  <c r="K32" i="14" s="1"/>
  <c r="D34" i="14"/>
  <c r="K34" i="14" s="1"/>
  <c r="H9" i="12"/>
  <c r="D40" i="17"/>
  <c r="J9" i="12"/>
  <c r="J15" i="14"/>
  <c r="J17" i="14" s="1"/>
  <c r="G17" i="14"/>
  <c r="D52" i="11"/>
  <c r="M52" i="11" s="1"/>
  <c r="L52" i="11"/>
  <c r="H22" i="12"/>
  <c r="J11" i="14"/>
  <c r="J37" i="11"/>
  <c r="K33" i="17"/>
  <c r="J34" i="11"/>
  <c r="F22" i="12"/>
  <c r="J40" i="14"/>
  <c r="C33" i="17"/>
  <c r="L37" i="17"/>
  <c r="N37" i="17" s="1"/>
  <c r="D40" i="12"/>
  <c r="L35" i="11"/>
  <c r="L37" i="11" s="1"/>
  <c r="I37" i="11"/>
  <c r="M37" i="11" s="1"/>
  <c r="M35" i="11"/>
  <c r="F17" i="14"/>
  <c r="F19" i="14" s="1"/>
  <c r="D15" i="14"/>
  <c r="D17" i="14" s="1"/>
  <c r="J22" i="12"/>
  <c r="I54" i="14"/>
  <c r="D9" i="12"/>
  <c r="L24" i="12"/>
  <c r="N24" i="12" s="1"/>
  <c r="L26" i="12"/>
  <c r="N26" i="12" s="1"/>
  <c r="M42" i="12"/>
  <c r="L27" i="12"/>
  <c r="N27" i="12" s="1"/>
  <c r="I29" i="11"/>
  <c r="M29" i="11" s="1"/>
  <c r="M22" i="11"/>
  <c r="L22" i="11"/>
  <c r="M33" i="12"/>
  <c r="F33" i="12"/>
  <c r="L31" i="12"/>
  <c r="N31" i="12" s="1"/>
  <c r="J28" i="18"/>
  <c r="J30" i="18" s="1"/>
  <c r="L11" i="11"/>
  <c r="M11" i="11"/>
  <c r="K7" i="11"/>
  <c r="C35" i="17"/>
  <c r="D37" i="14"/>
  <c r="K37" i="14" s="1"/>
  <c r="F35" i="17"/>
  <c r="H9" i="17"/>
  <c r="D47" i="14"/>
  <c r="K47" i="14" s="1"/>
  <c r="M23" i="11"/>
  <c r="L23" i="11"/>
  <c r="J33" i="17"/>
  <c r="C40" i="17"/>
  <c r="L36" i="12"/>
  <c r="E40" i="12"/>
  <c r="J45" i="14"/>
  <c r="L32" i="17"/>
  <c r="N32" i="17" s="1"/>
  <c r="G29" i="17"/>
  <c r="I33" i="12"/>
  <c r="D42" i="17"/>
  <c r="J53" i="11"/>
  <c r="J56" i="11" s="1"/>
  <c r="L39" i="12"/>
  <c r="N39" i="12" s="1"/>
  <c r="J46" i="14"/>
  <c r="J22" i="14"/>
  <c r="M16" i="11"/>
  <c r="L16" i="11"/>
  <c r="J29" i="12"/>
  <c r="L28" i="17"/>
  <c r="N28" i="17" s="1"/>
  <c r="L19" i="12"/>
  <c r="N19" i="12" s="1"/>
  <c r="M35" i="17"/>
  <c r="L40" i="11"/>
  <c r="M40" i="11"/>
  <c r="C22" i="17"/>
  <c r="J27" i="14"/>
  <c r="D40" i="14"/>
  <c r="K40" i="14" s="1"/>
  <c r="F35" i="12"/>
  <c r="J41" i="14"/>
  <c r="D45" i="14"/>
  <c r="K45" i="14" s="1"/>
  <c r="F48" i="14"/>
  <c r="D21" i="14"/>
  <c r="K35" i="12"/>
  <c r="J29" i="11"/>
  <c r="C9" i="17"/>
  <c r="D31" i="14"/>
  <c r="K31" i="14" s="1"/>
  <c r="K22" i="17"/>
  <c r="L15" i="17"/>
  <c r="N15" i="17" s="1"/>
  <c r="J23" i="14"/>
  <c r="J35" i="17"/>
  <c r="D42" i="14"/>
  <c r="K42" i="14" s="1"/>
  <c r="J40" i="12"/>
  <c r="M39" i="11"/>
  <c r="L39" i="11"/>
  <c r="D33" i="17"/>
  <c r="L18" i="17"/>
  <c r="N18" i="17" s="1"/>
  <c r="L34" i="17"/>
  <c r="L35" i="17" s="1"/>
  <c r="E35" i="17"/>
  <c r="D44" i="14"/>
  <c r="K44" i="14" s="1"/>
  <c r="H29" i="17"/>
  <c r="F29" i="17"/>
  <c r="J29" i="14"/>
  <c r="L15" i="12"/>
  <c r="N15" i="12" s="1"/>
  <c r="H40" i="17"/>
  <c r="J37" i="14"/>
  <c r="H33" i="17"/>
  <c r="M24" i="11"/>
  <c r="L24" i="11"/>
  <c r="L17" i="12"/>
  <c r="N17" i="12" s="1"/>
  <c r="J33" i="14"/>
  <c r="G40" i="17"/>
  <c r="J43" i="11"/>
  <c r="L26" i="17"/>
  <c r="N26" i="17" s="1"/>
  <c r="C33" i="12"/>
  <c r="N30" i="12"/>
  <c r="I35" i="17"/>
  <c r="C22" i="12"/>
  <c r="J47" i="14"/>
  <c r="M29" i="12"/>
  <c r="K53" i="11"/>
  <c r="K56" i="11" s="1"/>
  <c r="G22" i="17"/>
  <c r="M18" i="11"/>
  <c r="L18" i="11"/>
  <c r="L12" i="12"/>
  <c r="N12" i="12" s="1"/>
  <c r="J22" i="17"/>
  <c r="G29" i="12"/>
  <c r="C42" i="17"/>
  <c r="N41" i="17"/>
  <c r="N42" i="17" s="1"/>
  <c r="J21" i="11"/>
  <c r="I13" i="14"/>
  <c r="J21" i="18"/>
  <c r="J23" i="18" s="1"/>
  <c r="J42" i="12"/>
  <c r="I17" i="14"/>
  <c r="M29" i="17"/>
  <c r="G9" i="12"/>
  <c r="G44" i="12" s="1"/>
  <c r="L16" i="12"/>
  <c r="N16" i="12" s="1"/>
  <c r="D46" i="14"/>
  <c r="K46" i="14" s="1"/>
  <c r="L19" i="17"/>
  <c r="N19" i="17" s="1"/>
  <c r="D26" i="14"/>
  <c r="K26" i="14" s="1"/>
  <c r="I46" i="11"/>
  <c r="M46" i="11" s="1"/>
  <c r="L44" i="11"/>
  <c r="L46" i="11" s="1"/>
  <c r="M44" i="11"/>
  <c r="J35" i="14"/>
  <c r="L17" i="11"/>
  <c r="M17" i="11"/>
  <c r="M22" i="12"/>
  <c r="L31" i="17"/>
  <c r="N31" i="17" s="1"/>
  <c r="L12" i="17"/>
  <c r="N12" i="17" s="1"/>
  <c r="K43" i="11"/>
  <c r="I48" i="14"/>
  <c r="D30" i="14"/>
  <c r="K30" i="14" s="1"/>
  <c r="J50" i="14"/>
  <c r="G54" i="14"/>
  <c r="E29" i="12"/>
  <c r="L23" i="12"/>
  <c r="N23" i="12" s="1"/>
  <c r="N29" i="12" s="1"/>
  <c r="M40" i="17"/>
  <c r="M33" i="17"/>
  <c r="F9" i="17"/>
  <c r="D43" i="14"/>
  <c r="K43" i="14" s="1"/>
  <c r="L20" i="17"/>
  <c r="N20" i="17" s="1"/>
  <c r="H54" i="14"/>
  <c r="G35" i="12"/>
  <c r="H42" i="12"/>
  <c r="F54" i="14"/>
  <c r="D50" i="14"/>
  <c r="H35" i="17"/>
  <c r="J34" i="14"/>
  <c r="F42" i="12"/>
  <c r="J36" i="14"/>
  <c r="F33" i="17"/>
  <c r="G9" i="17"/>
  <c r="J43" i="14"/>
  <c r="D8" i="14"/>
  <c r="F13" i="14"/>
  <c r="I9" i="12"/>
  <c r="J9" i="14"/>
  <c r="E22" i="17"/>
  <c r="L10" i="17"/>
  <c r="F22" i="17"/>
  <c r="K42" i="17"/>
  <c r="J35" i="12"/>
  <c r="K28" i="18"/>
  <c r="K30" i="18" s="1"/>
  <c r="I22" i="12"/>
  <c r="G13" i="14"/>
  <c r="J8" i="14"/>
  <c r="J13" i="14" s="1"/>
  <c r="J19" i="14" s="1"/>
  <c r="K8" i="14"/>
  <c r="L10" i="12"/>
  <c r="E22" i="12"/>
  <c r="K40" i="12"/>
  <c r="K29" i="11"/>
  <c r="J21" i="14"/>
  <c r="G48" i="14"/>
  <c r="K21" i="14"/>
  <c r="L41" i="17"/>
  <c r="L42" i="17" s="1"/>
  <c r="E42" i="17"/>
  <c r="L38" i="11"/>
  <c r="M38" i="11"/>
  <c r="I43" i="11"/>
  <c r="D22" i="17"/>
  <c r="L21" i="12"/>
  <c r="N21" i="12" s="1"/>
  <c r="I29" i="12"/>
  <c r="K40" i="17"/>
  <c r="M35" i="12"/>
  <c r="D29" i="17"/>
  <c r="E35" i="12"/>
  <c r="L34" i="12"/>
  <c r="L35" i="12" s="1"/>
  <c r="H13" i="14"/>
  <c r="L32" i="11"/>
  <c r="M32" i="11"/>
  <c r="J52" i="14"/>
  <c r="K9" i="12"/>
  <c r="K21" i="18"/>
  <c r="K23" i="18" s="1"/>
  <c r="L14" i="17"/>
  <c r="N14" i="17" s="1"/>
  <c r="G42" i="17"/>
  <c r="L20" i="12"/>
  <c r="N20" i="12" s="1"/>
  <c r="L38" i="12"/>
  <c r="N38" i="12" s="1"/>
  <c r="H42" i="17"/>
  <c r="D53" i="14"/>
  <c r="K53" i="14" s="1"/>
  <c r="J42" i="14"/>
  <c r="D10" i="14"/>
  <c r="K10" i="14" s="1"/>
  <c r="D35" i="12"/>
  <c r="L55" i="11"/>
  <c r="D55" i="11"/>
  <c r="M55" i="11" s="1"/>
  <c r="L41" i="12"/>
  <c r="L42" i="12" s="1"/>
  <c r="E42" i="12"/>
  <c r="L11" i="12"/>
  <c r="N11" i="12" s="1"/>
  <c r="H35" i="12"/>
  <c r="J38" i="14"/>
  <c r="J31" i="14"/>
  <c r="I22" i="17"/>
  <c r="L24" i="17"/>
  <c r="N24" i="17" s="1"/>
  <c r="J39" i="14"/>
  <c r="K29" i="12"/>
  <c r="L38" i="17"/>
  <c r="N38" i="17" s="1"/>
  <c r="I42" i="12"/>
  <c r="L21" i="17"/>
  <c r="N21" i="17" s="1"/>
  <c r="D35" i="17"/>
  <c r="I29" i="17"/>
  <c r="L30" i="17"/>
  <c r="E33" i="17"/>
  <c r="J53" i="14"/>
  <c r="L13" i="12"/>
  <c r="N13" i="12" s="1"/>
  <c r="C40" i="12"/>
  <c r="J42" i="17"/>
  <c r="D29" i="12"/>
  <c r="J46" i="11"/>
  <c r="D41" i="14"/>
  <c r="K41" i="14" s="1"/>
  <c r="M40" i="12"/>
  <c r="D29" i="14"/>
  <c r="K29" i="14" s="1"/>
  <c r="J51" i="14"/>
  <c r="L17" i="17"/>
  <c r="N17" i="17" s="1"/>
  <c r="G33" i="12"/>
  <c r="H40" i="12"/>
  <c r="J29" i="17"/>
  <c r="I42" i="17"/>
  <c r="D24" i="14"/>
  <c r="K24" i="14" s="1"/>
  <c r="D28" i="14"/>
  <c r="K28" i="14" s="1"/>
  <c r="L25" i="11"/>
  <c r="M25" i="11"/>
  <c r="M8" i="11"/>
  <c r="I21" i="11"/>
  <c r="M21" i="11" s="1"/>
  <c r="L8" i="11"/>
  <c r="J26" i="14"/>
  <c r="M27" i="11"/>
  <c r="L27" i="11"/>
  <c r="M42" i="17"/>
  <c r="K42" i="12"/>
  <c r="M9" i="17"/>
  <c r="D36" i="14"/>
  <c r="K36" i="14" s="1"/>
  <c r="K46" i="11"/>
  <c r="D9" i="17"/>
  <c r="F9" i="12"/>
  <c r="M26" i="11"/>
  <c r="L26" i="11"/>
  <c r="I33" i="17"/>
  <c r="F42" i="17"/>
  <c r="L14" i="12"/>
  <c r="N14" i="12" s="1"/>
  <c r="C29" i="17"/>
  <c r="N23" i="17"/>
  <c r="J24" i="14"/>
  <c r="D33" i="12"/>
  <c r="M19" i="11"/>
  <c r="L19" i="11"/>
  <c r="D23" i="14"/>
  <c r="K23" i="14" s="1"/>
  <c r="I35" i="12"/>
  <c r="L27" i="17"/>
  <c r="N27" i="17" s="1"/>
  <c r="L12" i="11"/>
  <c r="M12" i="11"/>
  <c r="C9" i="12"/>
  <c r="I40" i="17"/>
  <c r="G33" i="17"/>
  <c r="E40" i="17"/>
  <c r="L36" i="17"/>
  <c r="L40" i="17" s="1"/>
  <c r="L10" i="11"/>
  <c r="M10" i="11"/>
  <c r="D35" i="14"/>
  <c r="K35" i="14" s="1"/>
  <c r="D27" i="14"/>
  <c r="K27" i="14" s="1"/>
  <c r="H22" i="17"/>
  <c r="K37" i="11"/>
  <c r="G42" i="12"/>
  <c r="D54" i="11"/>
  <c r="M54" i="11" s="1"/>
  <c r="L54" i="11"/>
  <c r="J40" i="17"/>
  <c r="J44" i="17" s="1"/>
  <c r="J33" i="12"/>
  <c r="M14" i="11"/>
  <c r="L14" i="11"/>
  <c r="J32" i="14"/>
  <c r="K21" i="11"/>
  <c r="L28" i="12"/>
  <c r="N28" i="12" s="1"/>
  <c r="L16" i="17"/>
  <c r="N16" i="17" s="1"/>
  <c r="M30" i="11"/>
  <c r="L30" i="11"/>
  <c r="L34" i="11" s="1"/>
  <c r="I34" i="11"/>
  <c r="M34" i="11" s="1"/>
  <c r="F40" i="17"/>
  <c r="H33" i="12"/>
  <c r="K34" i="11"/>
  <c r="K9" i="17"/>
  <c r="J9" i="17"/>
  <c r="J25" i="14"/>
  <c r="L37" i="12"/>
  <c r="N37" i="12" s="1"/>
  <c r="K35" i="17"/>
  <c r="J30" i="14"/>
  <c r="L21" i="18"/>
  <c r="L23" i="18" s="1"/>
  <c r="L23" i="17"/>
  <c r="E29" i="17"/>
  <c r="E9" i="12"/>
  <c r="L8" i="12"/>
  <c r="L9" i="12" s="1"/>
  <c r="D11" i="14"/>
  <c r="K11" i="14" s="1"/>
  <c r="I7" i="11"/>
  <c r="M7" i="11" s="1"/>
  <c r="M5" i="11"/>
  <c r="L5" i="11"/>
  <c r="L7" i="11" s="1"/>
  <c r="M15" i="11"/>
  <c r="L15" i="11"/>
  <c r="F29" i="12"/>
  <c r="K22" i="12"/>
  <c r="K15" i="14" l="1"/>
  <c r="J48" i="14"/>
  <c r="G44" i="17"/>
  <c r="K17" i="14"/>
  <c r="G19" i="14"/>
  <c r="M43" i="11"/>
  <c r="I48" i="11"/>
  <c r="M48" i="11" s="1"/>
  <c r="N36" i="12"/>
  <c r="N40" i="12" s="1"/>
  <c r="N44" i="12" s="1"/>
  <c r="L40" i="12"/>
  <c r="N42" i="12"/>
  <c r="L29" i="17"/>
  <c r="E44" i="17"/>
  <c r="H44" i="12"/>
  <c r="D13" i="14"/>
  <c r="D19" i="14" s="1"/>
  <c r="K50" i="14"/>
  <c r="D54" i="14"/>
  <c r="D56" i="14" s="1"/>
  <c r="K48" i="11"/>
  <c r="I19" i="14"/>
  <c r="N8" i="17"/>
  <c r="N9" i="17" s="1"/>
  <c r="C44" i="17"/>
  <c r="I44" i="12"/>
  <c r="L33" i="12"/>
  <c r="D48" i="14"/>
  <c r="K48" i="14" s="1"/>
  <c r="K13" i="14"/>
  <c r="H44" i="17"/>
  <c r="F56" i="14"/>
  <c r="N29" i="17"/>
  <c r="N30" i="17"/>
  <c r="N33" i="17" s="1"/>
  <c r="L33" i="17"/>
  <c r="L43" i="11"/>
  <c r="M44" i="17"/>
  <c r="J44" i="12"/>
  <c r="N36" i="17"/>
  <c r="N40" i="17" s="1"/>
  <c r="N44" i="17" s="1"/>
  <c r="N34" i="17"/>
  <c r="N35" i="17" s="1"/>
  <c r="D44" i="12"/>
  <c r="D44" i="17"/>
  <c r="F44" i="12"/>
  <c r="H19" i="14"/>
  <c r="H56" i="14" s="1"/>
  <c r="M44" i="12"/>
  <c r="N41" i="12"/>
  <c r="L21" i="11"/>
  <c r="F44" i="17"/>
  <c r="I44" i="17"/>
  <c r="C44" i="12"/>
  <c r="K44" i="12"/>
  <c r="N10" i="12"/>
  <c r="N22" i="12" s="1"/>
  <c r="L22" i="12"/>
  <c r="L29" i="12"/>
  <c r="N33" i="12"/>
  <c r="L29" i="11"/>
  <c r="I56" i="14"/>
  <c r="J54" i="14"/>
  <c r="J48" i="11"/>
  <c r="E44" i="12"/>
  <c r="L44" i="17"/>
  <c r="N8" i="12"/>
  <c r="N9" i="12" s="1"/>
  <c r="K44" i="17"/>
  <c r="L22" i="17"/>
  <c r="N10" i="17"/>
  <c r="N22" i="17" s="1"/>
  <c r="D53" i="11"/>
  <c r="D56" i="11" s="1"/>
  <c r="I56" i="11"/>
  <c r="M56" i="11" s="1"/>
  <c r="L53" i="11"/>
  <c r="L56" i="11" s="1"/>
  <c r="M53" i="11"/>
  <c r="K56" i="14" l="1"/>
  <c r="L48" i="11"/>
  <c r="J56" i="14"/>
  <c r="G56" i="14"/>
  <c r="K19" i="14"/>
  <c r="K54" i="14"/>
  <c r="L44" i="12"/>
</calcChain>
</file>

<file path=xl/sharedStrings.xml><?xml version="1.0" encoding="utf-8"?>
<sst xmlns="http://schemas.openxmlformats.org/spreadsheetml/2006/main" count="825" uniqueCount="434">
  <si>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</si>
  <si>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</si>
  <si>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</si>
  <si>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</si>
  <si>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</si>
  <si>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</si>
  <si>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</si>
  <si>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</si>
  <si>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</si>
  <si>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</si>
  <si>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</si>
  <si>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</si>
  <si>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</si>
  <si>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</si>
  <si>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</si>
  <si>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</si>
  <si>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Texas Families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</si>
  <si>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</si>
  <si>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</si>
  <si>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</si>
  <si>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</si>
  <si>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</si>
  <si>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</si>
  <si>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</si>
  <si>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</si>
  <si>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</si>
  <si>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</si>
  <si>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</si>
  <si>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</si>
  <si>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</si>
  <si>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</si>
  <si>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</si>
  <si>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</si>
  <si>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</si>
  <si>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</si>
  <si>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</si>
  <si>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</si>
  <si>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</si>
  <si>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</si>
  <si>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</si>
  <si>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</si>
  <si>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</si>
  <si>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</si>
  <si>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</si>
  <si>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</si>
  <si>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</si>
  <si>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</si>
  <si>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</si>
  <si>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Average Daily Investigative Caseload per CPS Worker - YTD</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</si>
  <si>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</si>
  <si>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</si>
  <si>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</si>
  <si>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</si>
  <si>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</si>
  <si>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</si>
  <si>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</si>
  <si>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</si>
  <si>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</si>
  <si>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</si>
  <si>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</si>
  <si>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</si>
  <si>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</si>
  <si>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</si>
  <si>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</si>
  <si>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</si>
  <si>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</si>
  <si>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</si>
  <si>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</si>
  <si>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</si>
  <si>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</si>
  <si>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</si>
  <si>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</si>
  <si>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</si>
  <si>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</si>
  <si>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</si>
  <si>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</si>
  <si>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</si>
  <si>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</si>
  <si>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</si>
  <si>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</si>
  <si>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</si>
  <si>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</si>
  <si>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</si>
  <si>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</si>
  <si>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</si>
  <si>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</si>
  <si>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</si>
  <si>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</si>
  <si>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</si>
  <si>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</si>
  <si>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</si>
  <si>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</si>
  <si>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</si>
  <si>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</si>
  <si>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</si>
  <si>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</si>
  <si>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</si>
  <si>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</si>
  <si>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</si>
  <si>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</si>
  <si>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</si>
  <si>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</si>
  <si>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</si>
  <si>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</si>
  <si>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</si>
  <si>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</si>
  <si>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</si>
  <si>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</si>
  <si>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</si>
  <si>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</si>
  <si>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</si>
  <si>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</si>
  <si>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</si>
  <si>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</si>
  <si>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</si>
  <si>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</si>
  <si>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</si>
  <si>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</si>
  <si>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</si>
  <si>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</si>
  <si>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</si>
  <si>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</si>
  <si>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</si>
  <si>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</si>
  <si>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</si>
  <si>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</si>
  <si>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Subtotal, Goal A:  Statewide Intake Services</t>
  </si>
  <si>
    <t>Subtotal, Goal B:  Child Protective Services</t>
  </si>
  <si>
    <t>Subtotal, Goal C:  Prevention Programs</t>
  </si>
  <si>
    <t>Subtotal, Goal D:  Adult Protective Services</t>
  </si>
  <si>
    <t xml:space="preserve">Subtotal, Goal E:  Child Care Regulation </t>
  </si>
  <si>
    <t>Subtotal, Goal F: Indirect Administration</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</si>
  <si>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</si>
  <si>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</si>
  <si>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</si>
  <si>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</si>
  <si>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</si>
  <si>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</si>
  <si>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</si>
  <si>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</si>
  <si>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</si>
  <si>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</si>
  <si>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</si>
  <si>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</si>
  <si>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</si>
  <si>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</si>
  <si>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</si>
  <si>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</si>
  <si>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</si>
  <si>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</si>
  <si>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</si>
  <si>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</si>
  <si>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</si>
  <si>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</si>
  <si>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</si>
  <si>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</si>
  <si>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</si>
  <si>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</si>
  <si>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</si>
  <si>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</si>
  <si>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</si>
  <si>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</si>
  <si>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</si>
  <si>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</si>
  <si>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</si>
  <si>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</si>
  <si>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</si>
  <si>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</si>
  <si>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</si>
  <si>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</si>
  <si>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</si>
  <si>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</si>
  <si>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</si>
  <si>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</si>
  <si>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</si>
  <si>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</si>
  <si>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</si>
  <si>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Compter Devices Lease Payments</t>
  </si>
  <si>
    <t>IMPACT Upgrades</t>
  </si>
  <si>
    <t xml:space="preserve">Software Licenses </t>
  </si>
  <si>
    <t>CLASS Upgrades</t>
  </si>
  <si>
    <t>Casework System Modernization and Accessibility</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</si>
  <si>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</si>
  <si>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</si>
  <si>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</si>
  <si>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</si>
  <si>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</si>
  <si>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</si>
  <si>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</si>
  <si>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</si>
  <si>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</si>
  <si>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</si>
  <si>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</si>
  <si>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</si>
  <si>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</si>
  <si>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</si>
  <si>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</si>
  <si>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</si>
  <si>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</si>
  <si>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</si>
  <si>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</si>
  <si>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</si>
  <si>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Texas Families:  Together and Safe</t>
  </si>
  <si>
    <t>APS Purchased Emergency Client Services</t>
  </si>
  <si>
    <t>Agency-wide Automated Systems</t>
  </si>
  <si>
    <t>Subtotal, Goal G: Agency-wide Automated Systems</t>
  </si>
  <si>
    <t>Variance (HB 1 vs. Projected)</t>
  </si>
  <si>
    <t>Number of Reports of APS In-Home Adult Abuse/Neglect/Exploitation</t>
  </si>
  <si>
    <t>Number of Reports of APS Facility Adult Abuse/Neglect/Exploitation</t>
  </si>
  <si>
    <t>Number of Completed APS In-Home Investigations</t>
  </si>
  <si>
    <t>Number of Completed Investigations in Facility Settings</t>
  </si>
  <si>
    <t>Average Daily Caseload per APS In-Home Worker - YTD</t>
  </si>
  <si>
    <t>Number of Completed Inspections of Child Care Facilities</t>
  </si>
  <si>
    <t>**</t>
  </si>
  <si>
    <t>Art IX, Sec 13.01, Federal Funds/Block Grants (2016-17 GAA) Fed Ent</t>
  </si>
  <si>
    <t>E</t>
  </si>
  <si>
    <t>A</t>
  </si>
  <si>
    <t>Projections Provided by HHSC System Forecasting.</t>
  </si>
  <si>
    <t>Title IVE Waiver</t>
  </si>
  <si>
    <t>Subtotal, Goal G: Agency-Wide Automated Systems</t>
  </si>
  <si>
    <t>Administrative Systems</t>
  </si>
  <si>
    <t>PEI Databases</t>
  </si>
  <si>
    <t>Refresh Smart Phones</t>
  </si>
  <si>
    <t>FINDRS</t>
  </si>
  <si>
    <t>Cybersecurity Advancement</t>
  </si>
  <si>
    <t>TITLE IVE WAIVER</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</si>
  <si>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</si>
  <si>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</si>
  <si>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</si>
  <si>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</si>
  <si>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</si>
  <si>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</si>
  <si>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</si>
  <si>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</si>
  <si>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54001</t>
  </si>
  <si>
    <t>54002</t>
  </si>
  <si>
    <t>54003</t>
  </si>
  <si>
    <t>54004</t>
  </si>
  <si>
    <t>54005</t>
  </si>
  <si>
    <t>54006</t>
  </si>
  <si>
    <t>54007</t>
  </si>
  <si>
    <t>54008</t>
  </si>
  <si>
    <t>54009</t>
  </si>
  <si>
    <t>54010</t>
  </si>
  <si>
    <t>54011</t>
  </si>
  <si>
    <t>54012</t>
  </si>
  <si>
    <t>TITLE IV E</t>
  </si>
  <si>
    <t>93.505 
MIECHV</t>
  </si>
  <si>
    <t>Other CFDA</t>
  </si>
  <si>
    <t>ABEST Code/</t>
  </si>
  <si>
    <t>Subtotal, Other Funds</t>
  </si>
  <si>
    <t>Cumulative Notes</t>
  </si>
  <si>
    <t>93.558/93.714
TANF</t>
  </si>
  <si>
    <t>93.575 
CCDBG</t>
  </si>
  <si>
    <t>93.667
TITLE XX</t>
  </si>
  <si>
    <t>93.778
TITLE XIX</t>
  </si>
  <si>
    <t>FY 2017 Monthly Financial Report: Strategy Variance by MOF</t>
  </si>
  <si>
    <t>Subtotal</t>
  </si>
  <si>
    <t>GRAND TOTAL</t>
  </si>
  <si>
    <t>FY 2017 Monthly Financial Report: Capital Projects</t>
  </si>
  <si>
    <t>FY 2017 Monthly Financial Report: Strategy Budget and Variance, Detailed MOF</t>
  </si>
  <si>
    <t>FY 2017 Monthly Financial Report: Strategy Projections by MOF</t>
  </si>
  <si>
    <t>FY 2017 Monthly Financial Report:  Select Performance Measures</t>
  </si>
  <si>
    <t>Target FY 2017 HB 1</t>
  </si>
  <si>
    <t>FY 2017       YTD Actual</t>
  </si>
  <si>
    <t>Statewide Intake (SWI) Automated Call Distributor (ACD) Replacement</t>
  </si>
  <si>
    <t>FY 2017 Monthly Financial Report: Full-Time Employee (FTE) Cap and Filled Positions</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</si>
  <si>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</si>
  <si>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</si>
  <si>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</si>
  <si>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</si>
  <si>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</si>
  <si>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</si>
  <si>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</si>
  <si>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</si>
  <si>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</si>
  <si>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</si>
  <si>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</si>
  <si>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</si>
  <si>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</si>
  <si>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</si>
  <si>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 xml:space="preserve">TITLE IVE WAIVER
</t>
  </si>
  <si>
    <t>Federal</t>
  </si>
  <si>
    <t>Prior Adjustments</t>
  </si>
  <si>
    <t>E,O</t>
  </si>
  <si>
    <t>O</t>
  </si>
  <si>
    <t>Current Month</t>
  </si>
  <si>
    <t>Art IX, Sec 14.03(i), Limitation on Expenditures - Capital Budget UB (2016-17 GAA)</t>
  </si>
  <si>
    <t>54013</t>
  </si>
  <si>
    <t>Notes: Estimated appropriated amount is $680,258. (Art IX, Sec. 13.11(b))</t>
  </si>
  <si>
    <t>Ending Balance</t>
  </si>
  <si>
    <t>Total Deductions</t>
  </si>
  <si>
    <t xml:space="preserve">     Other Cash Transfers w/i Fund/Account, Between Agencies</t>
  </si>
  <si>
    <t>Deductions:</t>
  </si>
  <si>
    <t>Total Estimated Revenue</t>
  </si>
  <si>
    <t xml:space="preserve">     Other Cash Transfers Between Funds/Accounts</t>
  </si>
  <si>
    <t xml:space="preserve">     Federal Receipts-Earned Credit</t>
  </si>
  <si>
    <t xml:space="preserve">     Federal Pass - Through Revenue</t>
  </si>
  <si>
    <t xml:space="preserve">     3851 Interest on State Deposits and Treasury Investments</t>
  </si>
  <si>
    <t>Estimated Revenue:</t>
  </si>
  <si>
    <t xml:space="preserve">Beginning Balance : </t>
  </si>
  <si>
    <t>Earned Federal Funds - Appropriated (Fund 0888)</t>
  </si>
  <si>
    <t>Texas Department of Family and Protective Services</t>
  </si>
  <si>
    <t>Children's Trust Fund - Unappropriated (Fund 5085)</t>
  </si>
  <si>
    <t xml:space="preserve">     3707 Marriage License Fees/Informal Declarations</t>
  </si>
  <si>
    <t xml:space="preserve">     Other Cash Transfers Between Funds/Accounts (from Fund 5084)</t>
  </si>
  <si>
    <t xml:space="preserve">     Unexpended Cash Balance Forward (CTF UB)</t>
  </si>
  <si>
    <t>Return Prior Year Unexpended Balance</t>
  </si>
  <si>
    <t xml:space="preserve">     7968 Operating Transfers w/i Agency, Fund/Account and FY</t>
  </si>
  <si>
    <t xml:space="preserve">     7972 Other Cash Transfers Between Funds/Accounts </t>
  </si>
  <si>
    <t>Children's Trust Fund - Appropriated (Fund 5084)</t>
  </si>
  <si>
    <t xml:space="preserve">     Marriage License Fees/Informal Declarations</t>
  </si>
  <si>
    <t xml:space="preserve">     Interest on State Deposits and Treasury Investments</t>
  </si>
  <si>
    <t xml:space="preserve">    3972 Other Transfers In Between Funds/Accounts (from Fund 5085)</t>
  </si>
  <si>
    <t xml:space="preserve">     Expenditures</t>
  </si>
  <si>
    <t xml:space="preserve">       Less: Vouchers Payable</t>
  </si>
  <si>
    <t>Note: Appropriated amount is $5,685,701.</t>
  </si>
  <si>
    <t>Note: Expenditures are estimated and have not been entered into USAS as of reporting time.</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</si>
  <si>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</si>
  <si>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</si>
  <si>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</si>
  <si>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</si>
  <si>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</si>
  <si>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</si>
  <si>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</si>
  <si>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</si>
  <si>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</si>
  <si>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</si>
  <si>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</si>
  <si>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</si>
  <si>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</si>
  <si>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</si>
  <si>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</si>
  <si>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</si>
  <si>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</si>
  <si>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84th Legislature, SB1 Art IX, Sec 13.01 Federal Funds/Block Grants (2016-17 GAA)</t>
  </si>
  <si>
    <t>84th Legislature, SB1 Art II, Special Provisions Relating to All Health and Human Services Agencies, Sec 10 (2016-17 GAA)</t>
  </si>
  <si>
    <t>84th Legislature, SB1 Art IX, Sec.18.02, Appropriation for a Salary Increase for General State Employees (2016-17 GAA)</t>
  </si>
  <si>
    <t>84th Legislature, SB1 Art IX, Sec 13.01, Federal Funds/Block Grants (2016-17 GAA) Fed Entitlements</t>
  </si>
  <si>
    <t>84th Legislature, SB1 Art IX, Sec 8.02, Reimbursements and Payments (2016-17 GAA)</t>
  </si>
  <si>
    <t>84th Legislature, SB1 Art IX, Sec 14.01, Appropriation Transfers (2016-17 GAA)</t>
  </si>
  <si>
    <t>84th Legislature, SB1 Art IX, Sec. 18.35, Contingency for HB 19</t>
  </si>
  <si>
    <t>V</t>
  </si>
  <si>
    <t>84th Legislature, Regular Session, House Bill 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</si>
  <si>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</si>
  <si>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</si>
  <si>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</si>
  <si>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</si>
  <si>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</si>
  <si>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</si>
  <si>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</si>
  <si>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</si>
  <si>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</si>
  <si>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</si>
  <si>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</si>
  <si>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</si>
  <si>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</si>
  <si>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</si>
  <si>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Subtotal, Goal E: </t>
    </r>
    <r>
      <rPr>
        <b/>
        <i/>
        <sz val="12"/>
        <rFont val="Times New Roman"/>
        <family val="1"/>
      </rPr>
      <t xml:space="preserve"> Child Care Regulation </t>
    </r>
  </si>
  <si>
    <r>
      <t xml:space="preserve">Subtotal, Goal G: </t>
    </r>
    <r>
      <rPr>
        <b/>
        <i/>
        <sz val="12"/>
        <rFont val="Times New Roman"/>
        <family val="1"/>
      </rPr>
      <t>Indirect Administration</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</si>
  <si>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</si>
  <si>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</si>
  <si>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</si>
  <si>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</si>
  <si>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Subtotal, Goal E:</t>
    </r>
    <r>
      <rPr>
        <b/>
        <i/>
        <sz val="12"/>
        <rFont val="Times New Roman"/>
        <family val="1"/>
      </rPr>
      <t xml:space="preserve">  Child Care Regulation </t>
    </r>
  </si>
  <si>
    <r>
      <rPr>
        <b/>
        <sz val="12"/>
        <rFont val="Times New Roman"/>
        <family val="1"/>
      </rPr>
      <t xml:space="preserve">Subtotal, Goal F: </t>
    </r>
    <r>
      <rPr>
        <b/>
        <i/>
        <sz val="12"/>
        <rFont val="Times New Roman"/>
        <family val="1"/>
      </rPr>
      <t>Indirect Administration</t>
    </r>
  </si>
  <si>
    <r>
      <rPr>
        <b/>
        <sz val="12"/>
        <rFont val="Times New Roman"/>
        <family val="1"/>
      </rPr>
      <t>Subtotal, Goal G:</t>
    </r>
    <r>
      <rPr>
        <b/>
        <i/>
        <sz val="12"/>
        <rFont val="Times New Roman"/>
        <family val="1"/>
      </rPr>
      <t xml:space="preserve"> Indirect Administration</t>
    </r>
  </si>
  <si>
    <r>
      <rPr>
        <b/>
        <sz val="12"/>
        <rFont val="Times New Roman"/>
        <family val="1"/>
      </rPr>
      <t>GRAND TOTAL</t>
    </r>
    <r>
      <rPr>
        <b/>
        <i/>
        <sz val="12"/>
        <rFont val="Times New Roman"/>
        <family val="1"/>
      </rPr>
      <t xml:space="preserve"> DFPS</t>
    </r>
  </si>
  <si>
    <t>Budgeted (Adjusted CAP)</t>
  </si>
  <si>
    <t>Adjusted CAP:</t>
  </si>
  <si>
    <t>(1) 84th Leg (GAA 16-17) Article II, S.P. Sec. 10 Home Visiting Programs Consolidation (letter dated 12/01/15)</t>
  </si>
  <si>
    <t>Avg. # of Children in FPS Conservatorship per Month Living in Out-of-Home Care</t>
  </si>
  <si>
    <t>W</t>
  </si>
  <si>
    <t>Art II, Rider 6 (c) Foster Care Rates (2016-17 GAA)</t>
  </si>
  <si>
    <t>K</t>
  </si>
  <si>
    <t>Art IX, Sec 13.10, Request to Expend TANF- Federal Funds/Block Grants (2016-17 GAA)</t>
  </si>
  <si>
    <t>D,E,G</t>
  </si>
  <si>
    <t>A,D,G</t>
  </si>
  <si>
    <t>D,E,F,G</t>
  </si>
  <si>
    <t>A,D,E,G</t>
  </si>
  <si>
    <t>(Note: Legal cite "C" has been excluded in the November report)</t>
  </si>
  <si>
    <t>B,E</t>
  </si>
  <si>
    <t>B,D,E,G</t>
  </si>
  <si>
    <t>B,D,E,F,G</t>
  </si>
  <si>
    <t>B,E,O</t>
  </si>
  <si>
    <t xml:space="preserve">     3986  CTF UB Forward In, 403</t>
  </si>
  <si>
    <t>FY 2017 Projected **</t>
  </si>
  <si>
    <t>Average Number of Children Provided Adoption Subsidy per Month*</t>
  </si>
  <si>
    <t>Average Number of STAR Youth Served per Month*</t>
  </si>
  <si>
    <t>Average Number of CYD Youth Served per Month*</t>
  </si>
  <si>
    <t>As of Date:</t>
  </si>
  <si>
    <t>Period</t>
  </si>
  <si>
    <t>.</t>
  </si>
  <si>
    <t>Fiscal Year:</t>
  </si>
  <si>
    <t>2017</t>
  </si>
  <si>
    <t>Period Ending Date:</t>
  </si>
  <si>
    <t>Prior Fiscal Year:</t>
  </si>
  <si>
    <t>(2) 84th Leg (GAA 16-17) Article II, S.P. Sec. 10 Exceeding Full-Time Equivalent (FTE) Authority (letter dated 11/22/16)</t>
  </si>
  <si>
    <t>(3) Budgeted (Adjusted CAP) includes 60.0 Administrative FTEs that transferred to HHSC on 09/01/16, letter of authority is pending.</t>
  </si>
  <si>
    <t>(4) FTE alignment between strategies to meet agency needs are reflected in Budgeted (Adjusted CAP) column.</t>
  </si>
  <si>
    <t>B,E,G,T</t>
  </si>
  <si>
    <t xml:space="preserve">     Other Cash Transfers Between Funds/Accounts </t>
  </si>
  <si>
    <t>A,G</t>
  </si>
  <si>
    <t>Private Institution Leases - Child Care Fees Unappropriated (Fund 0001)</t>
  </si>
  <si>
    <t xml:space="preserve">     3611 Private Institution Licenses (Licensing Fees)</t>
  </si>
  <si>
    <t xml:space="preserve">     3611 Private Institution Licenses (Administrators License)</t>
  </si>
  <si>
    <t xml:space="preserve">     3611 Private Institution Licenses (CHC-Admin Penalties)</t>
  </si>
  <si>
    <t>Unapprop Rcpts Swept by Compt</t>
  </si>
  <si>
    <t>E,Z</t>
  </si>
  <si>
    <t>A,B,D,E,G,K,O,W,Z</t>
  </si>
  <si>
    <t>Z</t>
  </si>
  <si>
    <t>A,B,D,E,F,G,Z</t>
  </si>
  <si>
    <t>E,J,K,W,Z</t>
  </si>
  <si>
    <t>E,J,Z</t>
  </si>
  <si>
    <t>A,B,D,E,G,P,V</t>
  </si>
  <si>
    <t>B,E,O,Z</t>
  </si>
  <si>
    <t>P</t>
  </si>
  <si>
    <t>Art IX, Sec 13.11(i), Amounts Contingent on Collection of EFF (2016-17 GAA)</t>
  </si>
  <si>
    <t>85th Legislature, Regular Session, House Bill 2</t>
  </si>
  <si>
    <t>84th Legislature, SB1 Art IX, Sec 13.11(i), Amounts Contingent on Collection of EFF (2016-17 GAA)</t>
  </si>
  <si>
    <t>YTD for #11-14 are projections provided by HHSC System Forecasting</t>
  </si>
  <si>
    <t>NOTE:  DFPS MRS provides actuals and HHSC Forecasting provides projections.</t>
  </si>
  <si>
    <t xml:space="preserve">FY2017 Projections are the April 2017 Forecasts </t>
  </si>
  <si>
    <t>Data Through the End of July 2017</t>
  </si>
  <si>
    <t>Data Through July 2017</t>
  </si>
  <si>
    <t>Average Number of Children Provided Adoption Subsidy per Month*: YTD data is through July 2017</t>
  </si>
  <si>
    <t>The YTD actuals for the below measures are provided by HHSC Forecasting.  They report completed data through July 2017 but if actual data is not available, forecasted points are reported.  The forecasted points reported are noted below.</t>
  </si>
  <si>
    <t>Average Number of Children (FTE) Served in Paid Foster Care per Month* - July 2017 is a forecasted data point.</t>
  </si>
  <si>
    <t>Average Number of STAR Youth Served per Month* - July&amp;July 2017 are forecasted data points.</t>
  </si>
  <si>
    <t>Average Number of CYD Youth Served per Month* - July&amp;July 2017 are forecasted data points.</t>
  </si>
  <si>
    <t>A,E,F</t>
  </si>
  <si>
    <t>E,G</t>
  </si>
  <si>
    <t>A,E,G</t>
  </si>
  <si>
    <t xml:space="preserve">     3802 Reimbursements-Third Party (Non-County)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</si>
</sst>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s>
  <fonts count="89">
    <font>
      <sz val="10"/>
      <name val="Arial"/>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i/>
      <sz val="12"/>
      <color theme="1"/>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s>
  <fills count="3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indexed="41"/>
        <bgColor indexed="64"/>
      </patternFill>
    </fill>
  </fills>
  <borders count="72">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right/>
      <top/>
      <bottom style="thin">
        <color indexed="64"/>
      </bottom>
      <diagonal/>
    </border>
    <border>
      <left style="thin">
        <color indexed="64"/>
      </left>
      <right style="medium">
        <color indexed="64"/>
      </right>
      <top/>
      <bottom style="thin">
        <color indexed="8"/>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0941">
    <xf numFmtId="0" fontId="0" fillId="0" borderId="0"/>
    <xf numFmtId="43" fontId="18" fillId="0" borderId="0" applyFont="0" applyFill="0" applyBorder="0" applyAlignment="0" applyProtection="0"/>
    <xf numFmtId="44" fontId="18" fillId="0" borderId="0" applyFont="0" applyFill="0" applyBorder="0" applyAlignment="0" applyProtection="0"/>
    <xf numFmtId="0" fontId="22"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2" borderId="0" applyNumberFormat="0" applyFont="0" applyBorder="0" applyAlignment="0" applyProtection="0"/>
    <xf numFmtId="0" fontId="26" fillId="0" borderId="0"/>
    <xf numFmtId="0" fontId="26" fillId="0" borderId="0"/>
    <xf numFmtId="0" fontId="18" fillId="0" borderId="0"/>
    <xf numFmtId="43" fontId="27" fillId="0" borderId="0" applyFont="0" applyFill="0" applyBorder="0" applyAlignment="0" applyProtection="0"/>
    <xf numFmtId="44" fontId="27" fillId="0" borderId="0" applyFont="0" applyFill="0" applyBorder="0" applyAlignment="0" applyProtection="0"/>
    <xf numFmtId="0" fontId="17"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68" fontId="26" fillId="0" borderId="0" applyFont="0" applyFill="0" applyBorder="0" applyAlignment="0" applyProtection="0"/>
    <xf numFmtId="0" fontId="2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8" fillId="0" borderId="0"/>
    <xf numFmtId="9" fontId="18" fillId="0" borderId="0" applyFont="0" applyFill="0" applyBorder="0" applyAlignment="0" applyProtection="0"/>
    <xf numFmtId="0" fontId="17"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0" borderId="0" applyNumberFormat="0" applyFill="0" applyBorder="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19" fillId="3" borderId="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8" fillId="0" borderId="0"/>
    <xf numFmtId="0" fontId="46"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0" fontId="24" fillId="0" borderId="1">
      <alignment horizontal="center"/>
    </xf>
    <xf numFmtId="3" fontId="23" fillId="0" borderId="0" applyFont="0" applyFill="0" applyBorder="0" applyAlignment="0" applyProtection="0"/>
    <xf numFmtId="3" fontId="23" fillId="0" borderId="0" applyFont="0" applyFill="0" applyBorder="0" applyAlignment="0" applyProtection="0"/>
    <xf numFmtId="0" fontId="23" fillId="2" borderId="0" applyNumberFormat="0" applyFont="0" applyBorder="0" applyAlignment="0" applyProtection="0"/>
    <xf numFmtId="0" fontId="23" fillId="2" borderId="0" applyNumberFormat="0" applyFon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16" fillId="0" borderId="0"/>
    <xf numFmtId="44" fontId="18" fillId="0" borderId="0" applyFont="0" applyFill="0" applyBorder="0" applyAlignment="0" applyProtection="0"/>
    <xf numFmtId="9" fontId="16" fillId="0" borderId="0" applyFont="0" applyFill="0" applyBorder="0" applyAlignment="0" applyProtection="0"/>
    <xf numFmtId="0" fontId="18" fillId="0" borderId="0"/>
    <xf numFmtId="0" fontId="16" fillId="0" borderId="0"/>
    <xf numFmtId="0" fontId="15" fillId="0" borderId="0"/>
    <xf numFmtId="0" fontId="14" fillId="0" borderId="0"/>
    <xf numFmtId="0" fontId="51"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27"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52" fillId="0" borderId="0"/>
    <xf numFmtId="0" fontId="53"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27" fillId="0" borderId="0" applyFont="0" applyFill="0" applyBorder="0" applyAlignment="0" applyProtection="0"/>
    <xf numFmtId="44" fontId="27"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18" fillId="0" borderId="0"/>
    <xf numFmtId="9" fontId="1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27" fillId="0" borderId="0"/>
    <xf numFmtId="0" fontId="27" fillId="0" borderId="0"/>
    <xf numFmtId="0" fontId="5"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43" fontId="18" fillId="0" borderId="0" applyFont="0" applyFill="0" applyBorder="0" applyAlignment="0" applyProtection="0"/>
    <xf numFmtId="0" fontId="3" fillId="0" borderId="0"/>
    <xf numFmtId="0" fontId="2" fillId="0" borderId="0"/>
    <xf numFmtId="43" fontId="27" fillId="0" borderId="0" applyFont="0" applyFill="0" applyBorder="0" applyAlignment="0" applyProtection="0"/>
    <xf numFmtId="0" fontId="1" fillId="0" borderId="0"/>
    <xf numFmtId="0" fontId="18" fillId="0" borderId="0"/>
    <xf numFmtId="0" fontId="18" fillId="0" borderId="0"/>
  </cellStyleXfs>
  <cellXfs count="560">
    <xf numFmtId="0" fontId="0" fillId="0" borderId="0" xfId="0"/>
    <xf numFmtId="0" fontId="25" fillId="0" borderId="0" xfId="0" applyFont="1" applyFill="1"/>
    <xf numFmtId="0" fontId="21" fillId="0" borderId="0" xfId="0" applyFont="1" applyFill="1" applyAlignment="1">
      <alignment horizontal="center"/>
    </xf>
    <xf numFmtId="0" fontId="18" fillId="0" borderId="0" xfId="0" applyFont="1"/>
    <xf numFmtId="0" fontId="55" fillId="0" borderId="0" xfId="0" applyFont="1" applyFill="1"/>
    <xf numFmtId="0" fontId="18" fillId="0" borderId="0" xfId="0" applyFont="1" applyFill="1"/>
    <xf numFmtId="3" fontId="18" fillId="0" borderId="0" xfId="0" applyNumberFormat="1" applyFont="1" applyFill="1"/>
    <xf numFmtId="0" fontId="25" fillId="0" borderId="0" xfId="0" applyFont="1"/>
    <xf numFmtId="0" fontId="56" fillId="0" borderId="0" xfId="3" applyFont="1" applyFill="1" applyAlignment="1">
      <alignment horizontal="center"/>
    </xf>
    <xf numFmtId="0" fontId="25" fillId="0" borderId="0" xfId="3" applyFont="1" applyFill="1"/>
    <xf numFmtId="0" fontId="55" fillId="0" borderId="0" xfId="3" applyFont="1" applyFill="1"/>
    <xf numFmtId="0" fontId="58" fillId="0" borderId="0" xfId="3" applyFont="1" applyFill="1"/>
    <xf numFmtId="49" fontId="58" fillId="0" borderId="0" xfId="3" applyNumberFormat="1" applyFont="1" applyFill="1" applyAlignment="1">
      <alignment horizontal="left" indent="1"/>
    </xf>
    <xf numFmtId="3" fontId="25" fillId="0" borderId="0" xfId="0" applyNumberFormat="1" applyFont="1" applyFill="1" applyAlignment="1"/>
    <xf numFmtId="3" fontId="25" fillId="0" borderId="0" xfId="0" applyNumberFormat="1" applyFont="1" applyFill="1"/>
    <xf numFmtId="0" fontId="60" fillId="0" borderId="0" xfId="0" applyFont="1" applyFill="1"/>
    <xf numFmtId="37" fontId="60" fillId="0" borderId="0" xfId="0" applyNumberFormat="1" applyFont="1" applyFill="1"/>
    <xf numFmtId="3" fontId="60" fillId="0" borderId="0" xfId="0" applyNumberFormat="1" applyFont="1" applyFill="1"/>
    <xf numFmtId="0" fontId="60" fillId="0" borderId="0" xfId="0" applyFont="1"/>
    <xf numFmtId="0" fontId="60" fillId="0" borderId="0" xfId="0" applyFont="1" applyFill="1" applyBorder="1"/>
    <xf numFmtId="0" fontId="59" fillId="5" borderId="25" xfId="3" applyFont="1" applyFill="1" applyBorder="1"/>
    <xf numFmtId="0" fontId="59" fillId="5" borderId="26" xfId="3" applyFont="1" applyFill="1" applyBorder="1" applyAlignment="1">
      <alignment horizontal="center" wrapText="1"/>
    </xf>
    <xf numFmtId="0" fontId="59" fillId="5" borderId="27" xfId="3" applyFont="1" applyFill="1" applyBorder="1" applyAlignment="1">
      <alignment horizontal="center"/>
    </xf>
    <xf numFmtId="38" fontId="60" fillId="0" borderId="29" xfId="1" applyNumberFormat="1" applyFont="1" applyBorder="1" applyAlignment="1">
      <alignment horizontal="right"/>
    </xf>
    <xf numFmtId="38" fontId="60" fillId="0" borderId="29" xfId="0" applyNumberFormat="1" applyFont="1" applyBorder="1"/>
    <xf numFmtId="0" fontId="60" fillId="0" borderId="31" xfId="0" applyFont="1" applyBorder="1"/>
    <xf numFmtId="0" fontId="59" fillId="5" borderId="29" xfId="3" applyFont="1" applyFill="1" applyBorder="1" applyAlignment="1">
      <alignment horizontal="center"/>
    </xf>
    <xf numFmtId="38" fontId="60" fillId="0" borderId="34" xfId="0" applyNumberFormat="1" applyFont="1" applyBorder="1"/>
    <xf numFmtId="0" fontId="60" fillId="0" borderId="0" xfId="3" applyFont="1" applyFill="1" applyAlignment="1">
      <alignment wrapText="1"/>
    </xf>
    <xf numFmtId="0" fontId="60" fillId="0" borderId="0" xfId="3" applyFont="1" applyFill="1"/>
    <xf numFmtId="43" fontId="63" fillId="0" borderId="0" xfId="1" applyFont="1" applyFill="1"/>
    <xf numFmtId="0" fontId="59" fillId="0" borderId="0" xfId="3" applyFont="1" applyFill="1"/>
    <xf numFmtId="0" fontId="59" fillId="0" borderId="0" xfId="3" applyFont="1" applyFill="1" applyBorder="1"/>
    <xf numFmtId="165" fontId="64" fillId="0" borderId="0" xfId="1" applyNumberFormat="1" applyFont="1" applyFill="1"/>
    <xf numFmtId="0" fontId="61" fillId="0" borderId="0" xfId="3" applyFont="1" applyFill="1"/>
    <xf numFmtId="0" fontId="62" fillId="0" borderId="0" xfId="3" applyFont="1" applyFill="1"/>
    <xf numFmtId="49" fontId="62" fillId="0" borderId="0" xfId="3" applyNumberFormat="1" applyFont="1" applyFill="1" applyAlignment="1">
      <alignment horizontal="left" wrapText="1"/>
    </xf>
    <xf numFmtId="49" fontId="60" fillId="0" borderId="0" xfId="3" applyNumberFormat="1" applyFont="1" applyFill="1" applyAlignment="1">
      <alignment horizontal="left" indent="1"/>
    </xf>
    <xf numFmtId="49" fontId="60" fillId="0" borderId="0" xfId="3" applyNumberFormat="1" applyFont="1" applyFill="1"/>
    <xf numFmtId="165" fontId="60" fillId="0" borderId="0" xfId="3" applyNumberFormat="1" applyFont="1" applyFill="1"/>
    <xf numFmtId="0" fontId="63" fillId="0" borderId="0" xfId="0" applyFont="1" applyFill="1"/>
    <xf numFmtId="0" fontId="60" fillId="0" borderId="0" xfId="0" applyFont="1" applyFill="1" applyAlignment="1">
      <alignment horizontal="center"/>
    </xf>
    <xf numFmtId="3" fontId="60" fillId="0" borderId="0" xfId="0" applyNumberFormat="1" applyFont="1" applyFill="1" applyAlignment="1"/>
    <xf numFmtId="0" fontId="59" fillId="0" borderId="0" xfId="0" applyFont="1" applyFill="1" applyAlignment="1">
      <alignment horizontal="center"/>
    </xf>
    <xf numFmtId="0" fontId="62" fillId="0" borderId="0" xfId="0" applyFont="1"/>
    <xf numFmtId="0" fontId="57" fillId="0" borderId="0" xfId="3" applyFont="1" applyFill="1" applyAlignment="1">
      <alignment horizontal="centerContinuous"/>
    </xf>
    <xf numFmtId="165" fontId="65" fillId="0" borderId="0" xfId="1" applyNumberFormat="1" applyFont="1" applyFill="1" applyAlignment="1">
      <alignment horizontal="center"/>
    </xf>
    <xf numFmtId="0" fontId="65" fillId="0" borderId="0" xfId="3" applyFont="1" applyFill="1" applyAlignment="1">
      <alignment horizontal="center"/>
    </xf>
    <xf numFmtId="0" fontId="66" fillId="0" borderId="0" xfId="3" applyFont="1" applyFill="1"/>
    <xf numFmtId="0" fontId="21" fillId="0" borderId="0" xfId="3" applyFont="1" applyFill="1" applyAlignment="1">
      <alignment horizontal="centerContinuous"/>
    </xf>
    <xf numFmtId="165" fontId="67" fillId="0" borderId="0" xfId="1" applyNumberFormat="1" applyFont="1" applyFill="1" applyAlignment="1">
      <alignment horizontal="center"/>
    </xf>
    <xf numFmtId="0" fontId="67" fillId="0" borderId="0" xfId="3" applyFont="1" applyFill="1" applyAlignment="1">
      <alignment horizontal="center"/>
    </xf>
    <xf numFmtId="0" fontId="54" fillId="0" borderId="0" xfId="3" applyFont="1" applyFill="1"/>
    <xf numFmtId="0" fontId="62" fillId="0" borderId="30" xfId="0" applyFont="1" applyBorder="1"/>
    <xf numFmtId="0" fontId="62" fillId="0" borderId="3" xfId="0" applyFont="1" applyBorder="1"/>
    <xf numFmtId="0" fontId="62" fillId="0" borderId="28" xfId="0" applyFont="1" applyBorder="1"/>
    <xf numFmtId="0" fontId="62" fillId="0" borderId="0" xfId="0" applyFont="1" applyBorder="1"/>
    <xf numFmtId="0" fontId="61" fillId="5" borderId="28" xfId="3" applyFont="1" applyFill="1" applyBorder="1"/>
    <xf numFmtId="0" fontId="61" fillId="5" borderId="3" xfId="3" applyFont="1" applyFill="1" applyBorder="1" applyAlignment="1">
      <alignment horizontal="center" wrapText="1"/>
    </xf>
    <xf numFmtId="0" fontId="62" fillId="0" borderId="32" xfId="0" applyFont="1" applyBorder="1"/>
    <xf numFmtId="0" fontId="62" fillId="0" borderId="33" xfId="0" applyFont="1" applyBorder="1"/>
    <xf numFmtId="49" fontId="62" fillId="0" borderId="0" xfId="3" applyNumberFormat="1" applyFont="1" applyFill="1"/>
    <xf numFmtId="0" fontId="62" fillId="0" borderId="0" xfId="0" applyFont="1" applyFill="1"/>
    <xf numFmtId="5" fontId="60" fillId="0" borderId="0" xfId="0" applyNumberFormat="1" applyFont="1" applyFill="1" applyBorder="1" applyAlignment="1">
      <alignment vertical="center"/>
    </xf>
    <xf numFmtId="37" fontId="60" fillId="0" borderId="0" xfId="0" applyNumberFormat="1" applyFont="1" applyFill="1" applyBorder="1" applyAlignment="1">
      <alignment vertical="center"/>
    </xf>
    <xf numFmtId="0" fontId="55" fillId="0" borderId="0" xfId="0" applyFont="1" applyFill="1" applyAlignment="1">
      <alignment vertical="center"/>
    </xf>
    <xf numFmtId="43" fontId="25" fillId="0" borderId="0" xfId="1" applyFont="1" applyFill="1" applyAlignment="1">
      <alignment vertical="center"/>
    </xf>
    <xf numFmtId="0" fontId="25" fillId="0" borderId="0" xfId="0" applyFont="1" applyFill="1" applyAlignment="1">
      <alignment vertical="center"/>
    </xf>
    <xf numFmtId="43" fontId="18" fillId="0" borderId="0" xfId="1" applyFont="1" applyFill="1" applyAlignment="1">
      <alignment vertical="center"/>
    </xf>
    <xf numFmtId="0" fontId="18" fillId="0" borderId="0" xfId="0" applyFont="1" applyFill="1" applyAlignment="1">
      <alignment vertical="center"/>
    </xf>
    <xf numFmtId="43" fontId="60" fillId="0" borderId="0" xfId="1" applyFont="1" applyFill="1" applyAlignment="1">
      <alignment vertical="center"/>
    </xf>
    <xf numFmtId="0" fontId="60" fillId="0" borderId="0" xfId="0" applyFont="1" applyFill="1" applyAlignment="1">
      <alignment vertical="center"/>
    </xf>
    <xf numFmtId="5" fontId="69" fillId="0" borderId="0" xfId="0" applyNumberFormat="1" applyFont="1" applyFill="1" applyBorder="1" applyAlignment="1">
      <alignment vertical="center"/>
    </xf>
    <xf numFmtId="164" fontId="60" fillId="0" borderId="0" xfId="0" applyNumberFormat="1" applyFont="1" applyFill="1" applyBorder="1" applyAlignment="1">
      <alignment vertical="center"/>
    </xf>
    <xf numFmtId="37" fontId="69" fillId="0" borderId="0" xfId="0" applyNumberFormat="1" applyFont="1" applyFill="1" applyBorder="1" applyAlignment="1">
      <alignment vertical="center"/>
    </xf>
    <xf numFmtId="164" fontId="69" fillId="0" borderId="0" xfId="0" applyNumberFormat="1" applyFont="1" applyFill="1" applyBorder="1" applyAlignment="1">
      <alignment vertical="center"/>
    </xf>
    <xf numFmtId="0" fontId="60" fillId="0" borderId="0" xfId="0" applyFont="1" applyFill="1" applyBorder="1" applyAlignment="1">
      <alignment vertical="center"/>
    </xf>
    <xf numFmtId="3" fontId="60" fillId="0" borderId="0" xfId="0" applyNumberFormat="1" applyFont="1" applyFill="1" applyBorder="1" applyAlignment="1">
      <alignment vertical="center"/>
    </xf>
    <xf numFmtId="3" fontId="60" fillId="0" borderId="0" xfId="0" applyNumberFormat="1" applyFont="1" applyFill="1" applyAlignment="1">
      <alignment vertical="center"/>
    </xf>
    <xf numFmtId="3" fontId="60" fillId="0" borderId="0" xfId="0" applyNumberFormat="1" applyFont="1" applyFill="1" applyAlignment="1">
      <alignment horizontal="left" vertical="center"/>
    </xf>
    <xf numFmtId="3" fontId="18" fillId="0" borderId="0" xfId="0" applyNumberFormat="1" applyFont="1" applyFill="1" applyAlignment="1">
      <alignment vertical="center"/>
    </xf>
    <xf numFmtId="3" fontId="18" fillId="0" borderId="0" xfId="0" applyNumberFormat="1" applyFont="1" applyFill="1" applyAlignment="1">
      <alignment horizontal="left" vertical="center"/>
    </xf>
    <xf numFmtId="0" fontId="68" fillId="4" borderId="14" xfId="0" applyFont="1" applyFill="1" applyBorder="1" applyAlignment="1">
      <alignment vertical="center"/>
    </xf>
    <xf numFmtId="0" fontId="60" fillId="0" borderId="0" xfId="0" applyFont="1" applyFill="1" applyAlignment="1">
      <alignment horizontal="left" vertical="center"/>
    </xf>
    <xf numFmtId="164" fontId="59" fillId="0" borderId="0" xfId="0" applyNumberFormat="1" applyFont="1" applyFill="1" applyAlignment="1">
      <alignment horizontal="left" vertical="center"/>
    </xf>
    <xf numFmtId="0" fontId="72" fillId="0" borderId="6" xfId="12" applyFont="1" applyFill="1" applyBorder="1"/>
    <xf numFmtId="0" fontId="72" fillId="0" borderId="2" xfId="12" applyFont="1" applyFill="1" applyBorder="1"/>
    <xf numFmtId="167" fontId="72" fillId="0" borderId="7" xfId="50934" applyNumberFormat="1" applyFont="1" applyFill="1" applyBorder="1"/>
    <xf numFmtId="164" fontId="70" fillId="0" borderId="5" xfId="12" applyNumberFormat="1" applyFont="1" applyFill="1" applyBorder="1" applyAlignment="1">
      <alignment horizontal="left" indent="3"/>
    </xf>
    <xf numFmtId="0" fontId="70" fillId="0" borderId="5" xfId="12" applyFont="1" applyFill="1" applyBorder="1"/>
    <xf numFmtId="167" fontId="70" fillId="0" borderId="3" xfId="50934" applyNumberFormat="1" applyFont="1" applyFill="1" applyBorder="1"/>
    <xf numFmtId="167" fontId="72" fillId="0" borderId="6" xfId="50934" applyNumberFormat="1" applyFont="1" applyFill="1" applyBorder="1"/>
    <xf numFmtId="0" fontId="72" fillId="0" borderId="7" xfId="12" applyFont="1" applyFill="1" applyBorder="1"/>
    <xf numFmtId="0" fontId="72" fillId="0" borderId="9" xfId="12" applyFont="1" applyFill="1" applyBorder="1"/>
    <xf numFmtId="164" fontId="70" fillId="0" borderId="13" xfId="12" applyNumberFormat="1" applyFont="1" applyFill="1" applyBorder="1"/>
    <xf numFmtId="164" fontId="70" fillId="0" borderId="5" xfId="12" applyNumberFormat="1" applyFont="1" applyFill="1" applyBorder="1"/>
    <xf numFmtId="0" fontId="72" fillId="0" borderId="0" xfId="12" applyFont="1" applyFill="1"/>
    <xf numFmtId="167" fontId="72" fillId="0" borderId="0" xfId="13" applyNumberFormat="1" applyFont="1" applyFill="1"/>
    <xf numFmtId="0" fontId="73" fillId="0" borderId="0" xfId="12" applyFont="1"/>
    <xf numFmtId="3" fontId="70" fillId="3" borderId="3" xfId="0" applyNumberFormat="1" applyFont="1" applyFill="1" applyBorder="1" applyAlignment="1">
      <alignment horizontal="center" wrapText="1"/>
    </xf>
    <xf numFmtId="3" fontId="74" fillId="0" borderId="0" xfId="0" applyNumberFormat="1" applyFont="1" applyFill="1"/>
    <xf numFmtId="41" fontId="72" fillId="0" borderId="0" xfId="4300" applyNumberFormat="1" applyFont="1"/>
    <xf numFmtId="41" fontId="72" fillId="0" borderId="0" xfId="1" applyNumberFormat="1" applyFont="1"/>
    <xf numFmtId="41" fontId="72" fillId="0" borderId="0" xfId="1" applyNumberFormat="1" applyFont="1" applyAlignment="1"/>
    <xf numFmtId="41" fontId="72" fillId="0" borderId="0" xfId="50939" applyNumberFormat="1" applyFont="1" applyAlignment="1"/>
    <xf numFmtId="41" fontId="70" fillId="0" borderId="13" xfId="1" applyNumberFormat="1" applyFont="1" applyBorder="1" applyAlignment="1"/>
    <xf numFmtId="41" fontId="70" fillId="0" borderId="0" xfId="50939" applyNumberFormat="1" applyFont="1" applyAlignment="1"/>
    <xf numFmtId="41" fontId="72" fillId="0" borderId="0" xfId="50940" applyNumberFormat="1" applyFont="1" applyAlignment="1"/>
    <xf numFmtId="41" fontId="70" fillId="0" borderId="0" xfId="50939" applyNumberFormat="1" applyFont="1" applyAlignment="1">
      <alignment horizontal="left"/>
    </xf>
    <xf numFmtId="43" fontId="72" fillId="0" borderId="0" xfId="1" applyFont="1" applyAlignment="1"/>
    <xf numFmtId="41" fontId="72" fillId="0" borderId="0" xfId="50939" applyNumberFormat="1" applyFont="1" applyAlignment="1">
      <alignment horizontal="left"/>
    </xf>
    <xf numFmtId="41" fontId="70" fillId="0" borderId="0" xfId="1" applyNumberFormat="1" applyFont="1"/>
    <xf numFmtId="41" fontId="70" fillId="0" borderId="0" xfId="50940" applyNumberFormat="1" applyFont="1" applyFill="1" applyBorder="1" applyAlignment="1"/>
    <xf numFmtId="41" fontId="70" fillId="0" borderId="0" xfId="50940" applyNumberFormat="1" applyFont="1" applyBorder="1" applyAlignment="1"/>
    <xf numFmtId="41" fontId="72" fillId="0" borderId="0" xfId="50940" applyNumberFormat="1" applyFont="1" applyFill="1" applyAlignment="1"/>
    <xf numFmtId="41" fontId="70" fillId="0" borderId="0" xfId="50940" applyNumberFormat="1" applyFont="1" applyAlignment="1"/>
    <xf numFmtId="41" fontId="70" fillId="0" borderId="13" xfId="50940" applyNumberFormat="1" applyFont="1" applyBorder="1" applyAlignment="1"/>
    <xf numFmtId="41" fontId="72" fillId="0" borderId="0" xfId="4300" applyNumberFormat="1" applyFont="1" applyAlignment="1">
      <alignment horizontal="left"/>
    </xf>
    <xf numFmtId="41" fontId="72" fillId="0" borderId="0" xfId="4300" applyNumberFormat="1" applyFont="1" applyAlignment="1"/>
    <xf numFmtId="41" fontId="72" fillId="0" borderId="0" xfId="4300" quotePrefix="1" applyNumberFormat="1" applyFont="1" applyAlignment="1">
      <alignment horizontal="center"/>
    </xf>
    <xf numFmtId="41" fontId="72" fillId="0" borderId="0" xfId="4300" applyNumberFormat="1" applyFont="1" applyFill="1" applyAlignment="1">
      <alignment horizontal="left"/>
    </xf>
    <xf numFmtId="165" fontId="72" fillId="0" borderId="0" xfId="1" applyNumberFormat="1" applyFont="1" applyAlignment="1"/>
    <xf numFmtId="0" fontId="72" fillId="0" borderId="0" xfId="50940" applyFont="1" applyAlignment="1"/>
    <xf numFmtId="169" fontId="72" fillId="0" borderId="0" xfId="50940" applyNumberFormat="1" applyFont="1" applyAlignment="1"/>
    <xf numFmtId="41" fontId="72" fillId="0" borderId="0" xfId="16" applyNumberFormat="1" applyFont="1"/>
    <xf numFmtId="41" fontId="72" fillId="0" borderId="0" xfId="16" quotePrefix="1" applyNumberFormat="1" applyFont="1" applyAlignment="1">
      <alignment horizontal="center"/>
    </xf>
    <xf numFmtId="0" fontId="72" fillId="0" borderId="0" xfId="50940" applyFont="1" applyAlignment="1">
      <alignment horizontal="left"/>
    </xf>
    <xf numFmtId="165" fontId="72" fillId="0" borderId="0" xfId="2234" applyNumberFormat="1" applyFont="1" applyAlignment="1"/>
    <xf numFmtId="0" fontId="72" fillId="0" borderId="0" xfId="4300" applyFont="1" applyBorder="1"/>
    <xf numFmtId="38" fontId="72" fillId="0" borderId="0" xfId="50940" applyNumberFormat="1" applyFont="1" applyAlignment="1"/>
    <xf numFmtId="41" fontId="72" fillId="0" borderId="0" xfId="16" applyNumberFormat="1" applyFont="1" applyAlignment="1"/>
    <xf numFmtId="0" fontId="70" fillId="0" borderId="0" xfId="50940" applyFont="1" applyAlignment="1"/>
    <xf numFmtId="0" fontId="72" fillId="0" borderId="0" xfId="4300" applyFont="1"/>
    <xf numFmtId="8" fontId="72" fillId="0" borderId="0" xfId="4300" applyNumberFormat="1" applyFont="1"/>
    <xf numFmtId="0" fontId="72" fillId="0" borderId="0" xfId="50940" applyFont="1" applyFill="1" applyAlignment="1"/>
    <xf numFmtId="165" fontId="72" fillId="0" borderId="0" xfId="1" applyNumberFormat="1" applyFont="1" applyFill="1" applyAlignment="1"/>
    <xf numFmtId="165" fontId="72" fillId="0" borderId="0" xfId="2234" applyNumberFormat="1" applyFont="1" applyFill="1" applyAlignment="1"/>
    <xf numFmtId="166" fontId="60" fillId="0" borderId="0" xfId="3" applyNumberFormat="1" applyFont="1" applyFill="1"/>
    <xf numFmtId="43" fontId="76" fillId="0" borderId="0" xfId="1" applyFont="1" applyFill="1" applyAlignment="1">
      <alignment horizontal="center" vertical="center"/>
    </xf>
    <xf numFmtId="43" fontId="72" fillId="0" borderId="0" xfId="1" applyFont="1" applyFill="1" applyAlignment="1">
      <alignment vertical="center"/>
    </xf>
    <xf numFmtId="0" fontId="70" fillId="3" borderId="12" xfId="0" applyFont="1" applyFill="1" applyBorder="1" applyAlignment="1">
      <alignment vertical="center"/>
    </xf>
    <xf numFmtId="0" fontId="70" fillId="3" borderId="35" xfId="0" applyFont="1" applyFill="1" applyBorder="1" applyAlignment="1">
      <alignment horizontal="center" vertical="center"/>
    </xf>
    <xf numFmtId="3" fontId="70" fillId="3" borderId="3" xfId="0" applyNumberFormat="1" applyFont="1" applyFill="1" applyBorder="1" applyAlignment="1">
      <alignment horizontal="center" vertical="center" wrapText="1"/>
    </xf>
    <xf numFmtId="3" fontId="70" fillId="3" borderId="3" xfId="0" applyNumberFormat="1" applyFont="1" applyFill="1" applyBorder="1" applyAlignment="1">
      <alignment horizontal="center" vertical="center"/>
    </xf>
    <xf numFmtId="5" fontId="73" fillId="0" borderId="0" xfId="10" applyNumberFormat="1" applyFont="1" applyFill="1" applyBorder="1" applyAlignment="1">
      <alignment horizontal="left" vertical="center"/>
    </xf>
    <xf numFmtId="5" fontId="73" fillId="0" borderId="0" xfId="10" applyNumberFormat="1" applyFont="1" applyFill="1" applyBorder="1" applyAlignment="1">
      <alignment vertical="center"/>
    </xf>
    <xf numFmtId="42" fontId="72" fillId="0" borderId="0" xfId="1" applyNumberFormat="1" applyFont="1" applyFill="1" applyBorder="1" applyAlignment="1">
      <alignment horizontal="left" vertical="center"/>
    </xf>
    <xf numFmtId="42" fontId="72" fillId="0" borderId="0" xfId="1" applyNumberFormat="1" applyFont="1" applyFill="1" applyBorder="1" applyAlignment="1">
      <alignment horizontal="center" vertical="center"/>
    </xf>
    <xf numFmtId="42" fontId="72" fillId="0" borderId="0" xfId="1" applyNumberFormat="1" applyFont="1" applyBorder="1" applyAlignment="1">
      <alignment horizontal="center" vertical="center"/>
    </xf>
    <xf numFmtId="165" fontId="72" fillId="0" borderId="0" xfId="1" applyNumberFormat="1" applyFont="1" applyFill="1" applyBorder="1" applyAlignment="1">
      <alignment vertical="center"/>
    </xf>
    <xf numFmtId="164" fontId="70" fillId="0" borderId="5" xfId="10" applyNumberFormat="1" applyFont="1" applyFill="1" applyBorder="1" applyAlignment="1">
      <alignment horizontal="left" vertical="center"/>
    </xf>
    <xf numFmtId="0" fontId="72" fillId="0" borderId="10" xfId="10" applyFont="1" applyBorder="1" applyAlignment="1">
      <alignment horizontal="center" vertical="center"/>
    </xf>
    <xf numFmtId="42" fontId="70" fillId="0" borderId="3" xfId="1" applyNumberFormat="1" applyFont="1" applyFill="1" applyBorder="1" applyAlignment="1">
      <alignment horizontal="left" vertical="center"/>
    </xf>
    <xf numFmtId="42" fontId="70" fillId="0" borderId="3" xfId="1" applyNumberFormat="1" applyFont="1" applyFill="1" applyBorder="1" applyAlignment="1">
      <alignment horizontal="center" vertical="center"/>
    </xf>
    <xf numFmtId="37" fontId="73" fillId="0" borderId="0" xfId="10" applyNumberFormat="1" applyFont="1" applyFill="1" applyBorder="1" applyAlignment="1">
      <alignment horizontal="left" vertical="center"/>
    </xf>
    <xf numFmtId="0" fontId="73" fillId="0" borderId="0" xfId="10" applyFont="1" applyFill="1" applyBorder="1" applyAlignment="1">
      <alignment vertical="center"/>
    </xf>
    <xf numFmtId="37" fontId="70" fillId="0" borderId="5" xfId="10" applyNumberFormat="1" applyFont="1" applyFill="1" applyBorder="1" applyAlignment="1">
      <alignment horizontal="left" vertical="center"/>
    </xf>
    <xf numFmtId="37" fontId="73" fillId="0" borderId="0" xfId="10" applyNumberFormat="1" applyFont="1" applyFill="1" applyBorder="1" applyAlignment="1">
      <alignment vertical="center"/>
    </xf>
    <xf numFmtId="0" fontId="73" fillId="0" borderId="0" xfId="10" applyFont="1" applyFill="1" applyBorder="1" applyAlignment="1">
      <alignment horizontal="left" vertical="center"/>
    </xf>
    <xf numFmtId="164" fontId="70" fillId="0" borderId="0" xfId="10" applyNumberFormat="1" applyFont="1" applyFill="1" applyBorder="1" applyAlignment="1">
      <alignment horizontal="left" vertical="center"/>
    </xf>
    <xf numFmtId="0" fontId="72" fillId="0" borderId="0" xfId="10" applyFont="1" applyBorder="1" applyAlignment="1">
      <alignment horizontal="center" vertical="center"/>
    </xf>
    <xf numFmtId="42" fontId="70" fillId="0" borderId="0" xfId="1" applyNumberFormat="1" applyFont="1" applyFill="1" applyBorder="1" applyAlignment="1">
      <alignment horizontal="left" vertical="center"/>
    </xf>
    <xf numFmtId="42" fontId="70" fillId="0" borderId="0" xfId="1" applyNumberFormat="1" applyFont="1" applyFill="1" applyBorder="1" applyAlignment="1">
      <alignment horizontal="center" vertical="center"/>
    </xf>
    <xf numFmtId="164" fontId="70" fillId="0" borderId="36" xfId="10" applyNumberFormat="1" applyFont="1" applyFill="1" applyBorder="1" applyAlignment="1">
      <alignment horizontal="left" vertical="center"/>
    </xf>
    <xf numFmtId="164" fontId="72" fillId="0" borderId="37" xfId="10" applyNumberFormat="1" applyFont="1" applyFill="1" applyBorder="1" applyAlignment="1">
      <alignment vertical="center"/>
    </xf>
    <xf numFmtId="42" fontId="70" fillId="0" borderId="39" xfId="1" applyNumberFormat="1" applyFont="1" applyFill="1" applyBorder="1" applyAlignment="1">
      <alignment horizontal="left" vertical="center"/>
    </xf>
    <xf numFmtId="42" fontId="70" fillId="0" borderId="39" xfId="1" applyNumberFormat="1" applyFont="1" applyFill="1" applyBorder="1" applyAlignment="1">
      <alignment horizontal="center" vertical="center"/>
    </xf>
    <xf numFmtId="0" fontId="75" fillId="0" borderId="0" xfId="10" applyFont="1" applyFill="1" applyBorder="1" applyAlignment="1">
      <alignment horizontal="left" vertical="center"/>
    </xf>
    <xf numFmtId="0" fontId="77"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164" fontId="73" fillId="0" borderId="0" xfId="10" applyNumberFormat="1" applyFont="1" applyFill="1" applyBorder="1" applyAlignment="1">
      <alignment horizontal="center" vertical="center"/>
    </xf>
    <xf numFmtId="164" fontId="72" fillId="0" borderId="13" xfId="10" applyNumberFormat="1" applyFont="1" applyFill="1" applyBorder="1" applyAlignment="1">
      <alignment vertical="center"/>
    </xf>
    <xf numFmtId="0" fontId="25" fillId="0" borderId="0" xfId="0" applyFont="1" applyFill="1" applyBorder="1" applyAlignment="1">
      <alignment vertical="center"/>
    </xf>
    <xf numFmtId="3" fontId="25" fillId="0" borderId="0" xfId="0" applyNumberFormat="1" applyFont="1" applyFill="1" applyBorder="1" applyAlignment="1">
      <alignment vertical="center"/>
    </xf>
    <xf numFmtId="3" fontId="25" fillId="0" borderId="0" xfId="0" applyNumberFormat="1" applyFont="1" applyFill="1" applyBorder="1" applyAlignment="1">
      <alignment horizontal="left" vertical="center"/>
    </xf>
    <xf numFmtId="43" fontId="25" fillId="0" borderId="0" xfId="1" applyFont="1" applyFill="1" applyBorder="1" applyAlignment="1">
      <alignment vertical="center"/>
    </xf>
    <xf numFmtId="3" fontId="25" fillId="0" borderId="0" xfId="0" applyNumberFormat="1" applyFont="1" applyFill="1" applyAlignment="1">
      <alignment vertical="center"/>
    </xf>
    <xf numFmtId="3" fontId="25" fillId="0" borderId="0" xfId="0" applyNumberFormat="1" applyFont="1" applyFill="1" applyAlignment="1">
      <alignment horizontal="left" vertical="center"/>
    </xf>
    <xf numFmtId="0" fontId="70" fillId="0" borderId="0" xfId="0" applyFont="1" applyFill="1" applyAlignment="1">
      <alignment vertical="center"/>
    </xf>
    <xf numFmtId="0" fontId="72" fillId="0" borderId="0" xfId="0" applyFont="1" applyFill="1" applyAlignment="1">
      <alignment vertical="center"/>
    </xf>
    <xf numFmtId="3" fontId="72" fillId="0" borderId="0" xfId="0" applyNumberFormat="1" applyFont="1" applyFill="1" applyAlignment="1">
      <alignment vertical="center"/>
    </xf>
    <xf numFmtId="3" fontId="72" fillId="0" borderId="0" xfId="0" applyNumberFormat="1" applyFont="1" applyFill="1" applyAlignment="1">
      <alignment horizontal="left" vertical="center"/>
    </xf>
    <xf numFmtId="0" fontId="72" fillId="0" borderId="0" xfId="0" applyFont="1" applyFill="1" applyAlignment="1">
      <alignment vertical="top" wrapText="1"/>
    </xf>
    <xf numFmtId="2" fontId="55" fillId="0" borderId="0" xfId="0" applyNumberFormat="1" applyFont="1" applyFill="1"/>
    <xf numFmtId="2" fontId="25" fillId="0" borderId="0" xfId="0" applyNumberFormat="1" applyFont="1" applyFill="1"/>
    <xf numFmtId="2" fontId="60" fillId="0" borderId="0" xfId="0" applyNumberFormat="1" applyFont="1" applyFill="1"/>
    <xf numFmtId="44" fontId="60" fillId="0" borderId="0" xfId="0" applyNumberFormat="1" applyFont="1" applyFill="1"/>
    <xf numFmtId="0" fontId="75" fillId="0" borderId="0" xfId="0" applyFont="1" applyFill="1" applyBorder="1" applyAlignment="1">
      <alignment horizontal="centerContinuous"/>
    </xf>
    <xf numFmtId="0" fontId="70" fillId="0" borderId="0" xfId="0" applyFont="1" applyFill="1" applyBorder="1" applyAlignment="1">
      <alignment horizontal="centerContinuous"/>
    </xf>
    <xf numFmtId="0" fontId="72" fillId="0" borderId="0" xfId="0" applyFont="1" applyFill="1"/>
    <xf numFmtId="0" fontId="70" fillId="0" borderId="0" xfId="0" applyFont="1" applyFill="1" applyAlignment="1">
      <alignment horizontal="center"/>
    </xf>
    <xf numFmtId="3" fontId="72" fillId="0" borderId="0" xfId="0" applyNumberFormat="1" applyFont="1" applyFill="1" applyAlignment="1"/>
    <xf numFmtId="3" fontId="72" fillId="0" borderId="0" xfId="0" applyNumberFormat="1" applyFont="1" applyFill="1"/>
    <xf numFmtId="0" fontId="70" fillId="3" borderId="9" xfId="0" applyFont="1" applyFill="1" applyBorder="1"/>
    <xf numFmtId="3" fontId="70" fillId="3" borderId="9" xfId="0" applyNumberFormat="1" applyFont="1" applyFill="1" applyBorder="1" applyAlignment="1">
      <alignment horizontal="center"/>
    </xf>
    <xf numFmtId="3" fontId="70" fillId="3" borderId="7" xfId="0" applyNumberFormat="1" applyFont="1" applyFill="1" applyBorder="1"/>
    <xf numFmtId="3" fontId="70" fillId="5" borderId="7" xfId="0" applyNumberFormat="1" applyFont="1" applyFill="1" applyBorder="1" applyAlignment="1">
      <alignment horizontal="center"/>
    </xf>
    <xf numFmtId="3" fontId="70" fillId="3" borderId="7" xfId="0" applyNumberFormat="1" applyFont="1" applyFill="1" applyBorder="1" applyAlignment="1">
      <alignment horizontal="center"/>
    </xf>
    <xf numFmtId="3" fontId="70" fillId="0" borderId="7" xfId="0" applyNumberFormat="1" applyFont="1" applyFill="1" applyBorder="1" applyAlignment="1">
      <alignment horizontal="center"/>
    </xf>
    <xf numFmtId="0" fontId="70" fillId="3" borderId="12" xfId="11" applyFont="1" applyFill="1" applyBorder="1" applyAlignment="1">
      <alignment horizontal="center"/>
    </xf>
    <xf numFmtId="3" fontId="70" fillId="3" borderId="12" xfId="11" applyNumberFormat="1" applyFont="1" applyFill="1" applyBorder="1" applyAlignment="1">
      <alignment horizontal="center"/>
    </xf>
    <xf numFmtId="3" fontId="70" fillId="3" borderId="24" xfId="11" applyNumberFormat="1" applyFont="1" applyFill="1" applyBorder="1" applyAlignment="1">
      <alignment horizontal="center"/>
    </xf>
    <xf numFmtId="3" fontId="70" fillId="5" borderId="24" xfId="11" applyNumberFormat="1" applyFont="1" applyFill="1" applyBorder="1" applyAlignment="1">
      <alignment horizontal="center"/>
    </xf>
    <xf numFmtId="3" fontId="70" fillId="3" borderId="24" xfId="0" applyNumberFormat="1" applyFont="1" applyFill="1" applyBorder="1" applyAlignment="1">
      <alignment horizontal="center"/>
    </xf>
    <xf numFmtId="3" fontId="70" fillId="0" borderId="24" xfId="0" applyNumberFormat="1" applyFont="1" applyFill="1" applyBorder="1" applyAlignment="1">
      <alignment horizontal="center"/>
    </xf>
    <xf numFmtId="0" fontId="70" fillId="0" borderId="0" xfId="11" applyFont="1" applyFill="1" applyBorder="1" applyAlignment="1">
      <alignment horizontal="center"/>
    </xf>
    <xf numFmtId="3" fontId="70" fillId="0" borderId="0" xfId="11" applyNumberFormat="1" applyFont="1" applyFill="1" applyBorder="1" applyAlignment="1">
      <alignment horizontal="center"/>
    </xf>
    <xf numFmtId="3" fontId="70" fillId="0" borderId="0" xfId="0" applyNumberFormat="1" applyFont="1" applyFill="1" applyBorder="1" applyAlignment="1">
      <alignment horizontal="center"/>
    </xf>
    <xf numFmtId="0" fontId="73" fillId="0" borderId="0" xfId="10" applyFont="1" applyFill="1" applyBorder="1" applyAlignment="1">
      <alignment horizontal="left"/>
    </xf>
    <xf numFmtId="3" fontId="73" fillId="0" borderId="0" xfId="10" quotePrefix="1" applyNumberFormat="1" applyFont="1" applyFill="1" applyBorder="1" applyAlignment="1">
      <alignment horizontal="center"/>
    </xf>
    <xf numFmtId="42" fontId="72" fillId="0" borderId="0" xfId="0" applyNumberFormat="1" applyFont="1" applyFill="1" applyBorder="1" applyAlignment="1"/>
    <xf numFmtId="43" fontId="72" fillId="0" borderId="0" xfId="1" applyFont="1" applyFill="1"/>
    <xf numFmtId="1" fontId="73" fillId="0" borderId="0" xfId="10" quotePrefix="1" applyNumberFormat="1" applyFont="1" applyFill="1" applyBorder="1" applyAlignment="1">
      <alignment horizontal="center"/>
    </xf>
    <xf numFmtId="164" fontId="70" fillId="0" borderId="5" xfId="10" applyNumberFormat="1" applyFont="1" applyFill="1" applyBorder="1" applyAlignment="1">
      <alignment horizontal="left" indent="3"/>
    </xf>
    <xf numFmtId="164" fontId="75" fillId="0" borderId="10" xfId="10" quotePrefix="1" applyNumberFormat="1" applyFont="1" applyFill="1" applyBorder="1" applyAlignment="1">
      <alignment horizontal="center"/>
    </xf>
    <xf numFmtId="42" fontId="70" fillId="0" borderId="3" xfId="0" applyNumberFormat="1" applyFont="1" applyFill="1" applyBorder="1" applyAlignment="1"/>
    <xf numFmtId="164" fontId="75" fillId="0" borderId="0" xfId="10" applyNumberFormat="1" applyFont="1" applyFill="1" applyBorder="1" applyAlignment="1">
      <alignment horizontal="left" indent="3"/>
    </xf>
    <xf numFmtId="164" fontId="75" fillId="0" borderId="0" xfId="10" quotePrefix="1" applyNumberFormat="1" applyFont="1" applyFill="1" applyBorder="1" applyAlignment="1">
      <alignment horizontal="center"/>
    </xf>
    <xf numFmtId="42" fontId="70" fillId="0" borderId="0" xfId="0" applyNumberFormat="1" applyFont="1" applyFill="1" applyBorder="1" applyAlignment="1"/>
    <xf numFmtId="0" fontId="73" fillId="0" borderId="0" xfId="0" applyFont="1" applyFill="1" applyBorder="1" applyAlignment="1">
      <alignment horizontal="left"/>
    </xf>
    <xf numFmtId="3" fontId="73" fillId="0" borderId="0" xfId="0" quotePrefix="1" applyNumberFormat="1" applyFont="1" applyFill="1" applyBorder="1" applyAlignment="1">
      <alignment horizontal="center"/>
    </xf>
    <xf numFmtId="164" fontId="75" fillId="0" borderId="10" xfId="10" applyNumberFormat="1" applyFont="1" applyFill="1" applyBorder="1" applyAlignment="1">
      <alignment horizontal="center"/>
    </xf>
    <xf numFmtId="164" fontId="75" fillId="0" borderId="0" xfId="10" applyNumberFormat="1" applyFont="1" applyFill="1" applyBorder="1" applyAlignment="1">
      <alignment horizontal="center"/>
    </xf>
    <xf numFmtId="0" fontId="73" fillId="0" borderId="0" xfId="10" applyFont="1" applyBorder="1"/>
    <xf numFmtId="0" fontId="73" fillId="0" borderId="0" xfId="10" quotePrefix="1" applyFont="1" applyBorder="1" applyAlignment="1">
      <alignment horizontal="center"/>
    </xf>
    <xf numFmtId="0" fontId="73" fillId="0" borderId="0" xfId="10" applyFont="1" applyBorder="1" applyAlignment="1">
      <alignment horizontal="center"/>
    </xf>
    <xf numFmtId="164" fontId="73" fillId="0" borderId="0" xfId="10" applyNumberFormat="1" applyFont="1" applyFill="1" applyBorder="1" applyAlignment="1">
      <alignment horizontal="left"/>
    </xf>
    <xf numFmtId="164" fontId="73" fillId="0" borderId="0" xfId="10" quotePrefix="1" applyNumberFormat="1" applyFont="1" applyFill="1" applyBorder="1" applyAlignment="1">
      <alignment horizontal="center"/>
    </xf>
    <xf numFmtId="0" fontId="73" fillId="0" borderId="0" xfId="10" applyFont="1" applyFill="1" applyBorder="1"/>
    <xf numFmtId="0" fontId="73" fillId="0" borderId="0" xfId="10" quotePrefix="1" applyFont="1" applyFill="1" applyBorder="1" applyAlignment="1">
      <alignment horizontal="center"/>
    </xf>
    <xf numFmtId="0" fontId="73" fillId="0" borderId="0" xfId="10" applyFont="1" applyBorder="1" applyAlignment="1">
      <alignment horizontal="center" wrapText="1"/>
    </xf>
    <xf numFmtId="42" fontId="70" fillId="0" borderId="10" xfId="0" applyNumberFormat="1" applyFont="1" applyFill="1" applyBorder="1" applyAlignment="1"/>
    <xf numFmtId="0" fontId="73" fillId="0" borderId="0" xfId="10" applyFont="1" applyBorder="1" applyAlignment="1">
      <alignment horizontal="left"/>
    </xf>
    <xf numFmtId="164" fontId="70" fillId="0" borderId="10" xfId="10" applyNumberFormat="1" applyFont="1" applyFill="1" applyBorder="1" applyAlignment="1">
      <alignment horizontal="center"/>
    </xf>
    <xf numFmtId="164" fontId="70" fillId="0" borderId="0" xfId="10" applyNumberFormat="1" applyFont="1" applyFill="1" applyBorder="1" applyAlignment="1">
      <alignment horizontal="left" indent="3"/>
    </xf>
    <xf numFmtId="164" fontId="70" fillId="0" borderId="0" xfId="10" applyNumberFormat="1" applyFont="1" applyFill="1" applyBorder="1" applyAlignment="1">
      <alignment horizontal="center"/>
    </xf>
    <xf numFmtId="164" fontId="70" fillId="0" borderId="36" xfId="10" applyNumberFormat="1" applyFont="1" applyFill="1" applyBorder="1"/>
    <xf numFmtId="164" fontId="70" fillId="0" borderId="37" xfId="10" applyNumberFormat="1" applyFont="1" applyFill="1" applyBorder="1" applyAlignment="1">
      <alignment horizontal="center"/>
    </xf>
    <xf numFmtId="42" fontId="70" fillId="0" borderId="37" xfId="0" applyNumberFormat="1" applyFont="1" applyFill="1" applyBorder="1" applyAlignment="1"/>
    <xf numFmtId="42" fontId="70" fillId="0" borderId="39" xfId="0" applyNumberFormat="1" applyFont="1" applyFill="1" applyBorder="1" applyAlignment="1"/>
    <xf numFmtId="0" fontId="75" fillId="0" borderId="0" xfId="0" applyFont="1" applyFill="1" applyAlignment="1">
      <alignment horizontal="centerContinuous"/>
    </xf>
    <xf numFmtId="0" fontId="70" fillId="0" borderId="0" xfId="0" applyFont="1" applyFill="1" applyAlignment="1">
      <alignment horizontal="centerContinuous"/>
    </xf>
    <xf numFmtId="0" fontId="72" fillId="5" borderId="11" xfId="0" applyFont="1" applyFill="1" applyBorder="1" applyAlignment="1">
      <alignment horizontal="center"/>
    </xf>
    <xf numFmtId="0" fontId="72" fillId="5" borderId="7" xfId="0" applyFont="1" applyFill="1" applyBorder="1" applyAlignment="1"/>
    <xf numFmtId="0" fontId="72" fillId="5" borderId="7" xfId="0" applyFont="1" applyFill="1" applyBorder="1" applyAlignment="1">
      <alignment horizontal="center"/>
    </xf>
    <xf numFmtId="0" fontId="72" fillId="5" borderId="8" xfId="0" applyFont="1" applyFill="1" applyBorder="1" applyAlignment="1">
      <alignment horizontal="center"/>
    </xf>
    <xf numFmtId="0" fontId="75" fillId="3" borderId="12" xfId="0" applyFont="1" applyFill="1" applyBorder="1" applyAlignment="1">
      <alignment horizontal="center" vertical="center"/>
    </xf>
    <xf numFmtId="0" fontId="75" fillId="3" borderId="4" xfId="0" applyFont="1" applyFill="1" applyBorder="1" applyAlignment="1">
      <alignment horizontal="center" vertical="center"/>
    </xf>
    <xf numFmtId="3" fontId="70" fillId="3" borderId="24" xfId="0" applyNumberFormat="1" applyFont="1" applyFill="1" applyBorder="1" applyAlignment="1">
      <alignment horizontal="center" vertical="center"/>
    </xf>
    <xf numFmtId="3" fontId="75" fillId="3" borderId="4" xfId="0" applyNumberFormat="1" applyFont="1" applyFill="1" applyBorder="1" applyAlignment="1">
      <alignment horizontal="center" vertical="center" wrapText="1"/>
    </xf>
    <xf numFmtId="3" fontId="70" fillId="3" borderId="4" xfId="0" applyNumberFormat="1" applyFont="1" applyFill="1" applyBorder="1" applyAlignment="1">
      <alignment horizontal="center" vertical="center" wrapText="1"/>
    </xf>
    <xf numFmtId="3" fontId="70" fillId="3" borderId="13" xfId="0" applyNumberFormat="1" applyFont="1" applyFill="1" applyBorder="1" applyAlignment="1">
      <alignment horizontal="center" vertical="center" wrapText="1"/>
    </xf>
    <xf numFmtId="3" fontId="70" fillId="3" borderId="24" xfId="0" applyNumberFormat="1" applyFont="1" applyFill="1" applyBorder="1" applyAlignment="1">
      <alignment horizontal="center" vertical="center" wrapText="1"/>
    </xf>
    <xf numFmtId="3" fontId="70" fillId="3" borderId="35" xfId="0" applyNumberFormat="1" applyFont="1" applyFill="1" applyBorder="1" applyAlignment="1">
      <alignment horizontal="center" vertical="center" wrapText="1"/>
    </xf>
    <xf numFmtId="0" fontId="75" fillId="0" borderId="0" xfId="0" applyFont="1" applyFill="1" applyBorder="1" applyAlignment="1">
      <alignment horizontal="center" vertical="center"/>
    </xf>
    <xf numFmtId="3" fontId="70" fillId="0" borderId="0" xfId="0" applyNumberFormat="1" applyFont="1" applyFill="1" applyBorder="1" applyAlignment="1">
      <alignment horizontal="center" vertical="center"/>
    </xf>
    <xf numFmtId="3" fontId="75" fillId="0" borderId="0" xfId="0" applyNumberFormat="1" applyFont="1" applyFill="1" applyBorder="1" applyAlignment="1">
      <alignment horizontal="center" vertical="center" wrapText="1"/>
    </xf>
    <xf numFmtId="3" fontId="70" fillId="0" borderId="0" xfId="0" applyNumberFormat="1" applyFont="1" applyFill="1" applyBorder="1" applyAlignment="1">
      <alignment horizontal="center" vertical="center" wrapText="1"/>
    </xf>
    <xf numFmtId="42" fontId="72" fillId="0" borderId="0" xfId="0" applyNumberFormat="1" applyFont="1" applyFill="1" applyBorder="1" applyAlignment="1">
      <alignment horizontal="right" vertical="center"/>
    </xf>
    <xf numFmtId="42" fontId="70" fillId="0" borderId="3" xfId="0" applyNumberFormat="1" applyFont="1" applyFill="1" applyBorder="1" applyAlignment="1">
      <alignment horizontal="right" vertical="center"/>
    </xf>
    <xf numFmtId="5" fontId="70" fillId="0" borderId="0" xfId="0" applyNumberFormat="1" applyFont="1" applyFill="1" applyBorder="1" applyAlignment="1">
      <alignment horizontal="left" vertical="center"/>
    </xf>
    <xf numFmtId="37" fontId="70" fillId="0" borderId="0" xfId="0" applyNumberFormat="1" applyFont="1" applyFill="1" applyBorder="1" applyAlignment="1">
      <alignment horizontal="left" vertical="center"/>
    </xf>
    <xf numFmtId="164" fontId="75" fillId="0" borderId="38" xfId="10" applyNumberFormat="1" applyFont="1" applyFill="1" applyBorder="1" applyAlignment="1">
      <alignment horizontal="left" vertical="center"/>
    </xf>
    <xf numFmtId="42" fontId="70" fillId="0" borderId="38" xfId="0" applyNumberFormat="1" applyFont="1" applyFill="1" applyBorder="1" applyAlignment="1">
      <alignment horizontal="left" vertical="center"/>
    </xf>
    <xf numFmtId="42" fontId="70" fillId="0" borderId="37" xfId="0" applyNumberFormat="1" applyFont="1" applyFill="1" applyBorder="1" applyAlignment="1">
      <alignment horizontal="left" vertical="center"/>
    </xf>
    <xf numFmtId="0" fontId="72" fillId="0" borderId="0" xfId="0" applyFont="1" applyFill="1" applyBorder="1" applyAlignment="1">
      <alignment horizontal="center"/>
    </xf>
    <xf numFmtId="0" fontId="72" fillId="5" borderId="9" xfId="0" applyFont="1" applyFill="1" applyBorder="1" applyAlignment="1">
      <alignment horizontal="center"/>
    </xf>
    <xf numFmtId="0" fontId="75" fillId="0" borderId="0" xfId="3" applyFont="1" applyFill="1" applyAlignment="1">
      <alignment horizontal="centerContinuous"/>
    </xf>
    <xf numFmtId="0" fontId="70" fillId="0" borderId="0" xfId="3" applyFont="1" applyFill="1" applyAlignment="1">
      <alignment horizontal="centerContinuous"/>
    </xf>
    <xf numFmtId="0" fontId="78" fillId="0" borderId="0" xfId="3" applyFont="1" applyFill="1" applyAlignment="1">
      <alignment horizontal="center"/>
    </xf>
    <xf numFmtId="49" fontId="78" fillId="0" borderId="0" xfId="3" applyNumberFormat="1" applyFont="1" applyFill="1" applyAlignment="1">
      <alignment horizontal="left" indent="1"/>
    </xf>
    <xf numFmtId="0" fontId="70" fillId="3" borderId="0" xfId="3" applyFont="1" applyFill="1" applyBorder="1" applyAlignment="1">
      <alignment horizontal="center" wrapText="1"/>
    </xf>
    <xf numFmtId="0" fontId="25" fillId="0" borderId="0" xfId="3" applyFont="1" applyFill="1" applyAlignment="1">
      <alignment wrapText="1"/>
    </xf>
    <xf numFmtId="0" fontId="72" fillId="0" borderId="0" xfId="3" applyFont="1" applyFill="1" applyBorder="1"/>
    <xf numFmtId="49" fontId="72" fillId="0" borderId="0" xfId="3" applyNumberFormat="1" applyFont="1" applyFill="1" applyBorder="1" applyAlignment="1">
      <alignment horizontal="left" indent="1"/>
    </xf>
    <xf numFmtId="0" fontId="72" fillId="0" borderId="0" xfId="3" applyFont="1" applyFill="1"/>
    <xf numFmtId="0" fontId="73" fillId="0" borderId="0" xfId="1" quotePrefix="1" applyNumberFormat="1" applyFont="1" applyFill="1" applyBorder="1" applyAlignment="1">
      <alignment vertical="top"/>
    </xf>
    <xf numFmtId="165" fontId="73" fillId="0" borderId="0" xfId="1" applyNumberFormat="1" applyFont="1" applyFill="1" applyBorder="1" applyAlignment="1">
      <alignment vertical="top" wrapText="1"/>
    </xf>
    <xf numFmtId="166" fontId="72" fillId="0" borderId="0" xfId="2" applyNumberFormat="1" applyFont="1" applyFill="1" applyBorder="1"/>
    <xf numFmtId="49" fontId="72" fillId="0" borderId="0" xfId="2" applyNumberFormat="1" applyFont="1" applyFill="1" applyBorder="1" applyAlignment="1">
      <alignment horizontal="center"/>
    </xf>
    <xf numFmtId="43" fontId="79" fillId="0" borderId="0" xfId="1" applyFont="1" applyFill="1"/>
    <xf numFmtId="49" fontId="72" fillId="0" borderId="0" xfId="1" applyNumberFormat="1" applyFont="1" applyFill="1" applyBorder="1" applyAlignment="1">
      <alignment horizontal="center"/>
    </xf>
    <xf numFmtId="0" fontId="70" fillId="0" borderId="3" xfId="3" applyFont="1" applyFill="1" applyBorder="1" applyAlignment="1"/>
    <xf numFmtId="0" fontId="75" fillId="0" borderId="3" xfId="3" applyFont="1" applyFill="1" applyBorder="1"/>
    <xf numFmtId="166" fontId="70" fillId="0" borderId="3" xfId="2" applyNumberFormat="1" applyFont="1" applyFill="1" applyBorder="1"/>
    <xf numFmtId="165" fontId="80" fillId="0" borderId="0" xfId="1" applyNumberFormat="1" applyFont="1" applyFill="1" applyBorder="1"/>
    <xf numFmtId="165" fontId="78" fillId="0" borderId="0" xfId="1" applyNumberFormat="1" applyFont="1" applyFill="1" applyBorder="1" applyAlignment="1">
      <alignment horizontal="center"/>
    </xf>
    <xf numFmtId="165" fontId="81" fillId="0" borderId="0" xfId="1" applyNumberFormat="1" applyFont="1" applyFill="1" applyBorder="1"/>
    <xf numFmtId="49" fontId="80" fillId="0" borderId="0" xfId="1" applyNumberFormat="1" applyFont="1" applyFill="1" applyBorder="1" applyAlignment="1">
      <alignment horizontal="center"/>
    </xf>
    <xf numFmtId="43" fontId="80" fillId="0" borderId="0" xfId="1" applyFont="1" applyFill="1" applyBorder="1" applyAlignment="1">
      <alignment horizontal="center"/>
    </xf>
    <xf numFmtId="0" fontId="70" fillId="0" borderId="39" xfId="3" applyFont="1" applyFill="1" applyBorder="1"/>
    <xf numFmtId="0" fontId="75" fillId="0" borderId="39" xfId="3" applyFont="1" applyFill="1" applyBorder="1"/>
    <xf numFmtId="166" fontId="70" fillId="0" borderId="39" xfId="2" applyNumberFormat="1" applyFont="1" applyFill="1" applyBorder="1"/>
    <xf numFmtId="0" fontId="77" fillId="0" borderId="0" xfId="3" applyFont="1" applyFill="1" applyBorder="1"/>
    <xf numFmtId="0" fontId="75" fillId="0" borderId="0" xfId="3" applyFont="1" applyFill="1" applyBorder="1"/>
    <xf numFmtId="166" fontId="70" fillId="0" borderId="0" xfId="2" applyNumberFormat="1" applyFont="1" applyFill="1" applyBorder="1"/>
    <xf numFmtId="49" fontId="70" fillId="0" borderId="0" xfId="2" applyNumberFormat="1" applyFont="1" applyFill="1" applyBorder="1" applyAlignment="1">
      <alignment horizontal="center"/>
    </xf>
    <xf numFmtId="43" fontId="70" fillId="0" borderId="0" xfId="1" applyFont="1" applyFill="1" applyBorder="1" applyAlignment="1">
      <alignment horizontal="center"/>
    </xf>
    <xf numFmtId="0" fontId="73" fillId="0" borderId="0" xfId="3" applyFont="1" applyFill="1" applyBorder="1" applyAlignment="1">
      <alignment horizontal="left" indent="1"/>
    </xf>
    <xf numFmtId="0" fontId="73" fillId="0" borderId="0" xfId="3" applyFont="1" applyFill="1" applyBorder="1"/>
    <xf numFmtId="0" fontId="75" fillId="0" borderId="0" xfId="3" applyFont="1" applyFill="1" applyBorder="1" applyAlignment="1">
      <alignment horizontal="left" indent="1"/>
    </xf>
    <xf numFmtId="166" fontId="73" fillId="0" borderId="0" xfId="2" applyNumberFormat="1" applyFont="1" applyFill="1" applyBorder="1"/>
    <xf numFmtId="49" fontId="73" fillId="0" borderId="0" xfId="2" applyNumberFormat="1" applyFont="1" applyFill="1" applyBorder="1" applyAlignment="1">
      <alignment horizontal="center"/>
    </xf>
    <xf numFmtId="0" fontId="72" fillId="0" borderId="0" xfId="3" applyFont="1" applyFill="1" applyBorder="1" applyAlignment="1">
      <alignment horizontal="left" indent="1"/>
    </xf>
    <xf numFmtId="165" fontId="72" fillId="0" borderId="0" xfId="1" applyNumberFormat="1" applyFont="1" applyFill="1" applyBorder="1"/>
    <xf numFmtId="166" fontId="79" fillId="0" borderId="0" xfId="3" applyNumberFormat="1" applyFont="1" applyFill="1" applyBorder="1"/>
    <xf numFmtId="0" fontId="70" fillId="0" borderId="0" xfId="3" applyFont="1" applyFill="1" applyBorder="1"/>
    <xf numFmtId="0" fontId="73" fillId="0" borderId="0" xfId="3" applyNumberFormat="1" applyFont="1" applyFill="1" applyAlignment="1">
      <alignment horizontal="left"/>
    </xf>
    <xf numFmtId="49" fontId="73" fillId="0" borderId="0" xfId="3" applyNumberFormat="1" applyFont="1" applyFill="1" applyAlignment="1">
      <alignment wrapText="1"/>
    </xf>
    <xf numFmtId="43" fontId="73" fillId="0" borderId="0" xfId="1" applyFont="1" applyFill="1" applyAlignment="1">
      <alignment wrapText="1"/>
    </xf>
    <xf numFmtId="0" fontId="72" fillId="0" borderId="0" xfId="0" applyFont="1"/>
    <xf numFmtId="49" fontId="73" fillId="0" borderId="0" xfId="3" applyNumberFormat="1" applyFont="1" applyFill="1" applyAlignment="1">
      <alignment horizontal="left" wrapText="1"/>
    </xf>
    <xf numFmtId="0" fontId="72" fillId="0" borderId="0" xfId="4300" applyFont="1" applyFill="1"/>
    <xf numFmtId="0" fontId="70" fillId="0" borderId="0" xfId="4300" applyFont="1" applyAlignment="1">
      <alignment horizontal="left"/>
    </xf>
    <xf numFmtId="0" fontId="70" fillId="0" borderId="0" xfId="4300" applyFont="1" applyAlignment="1"/>
    <xf numFmtId="49" fontId="70" fillId="0" borderId="0" xfId="4300" applyNumberFormat="1" applyFont="1" applyAlignment="1">
      <alignment horizontal="left"/>
    </xf>
    <xf numFmtId="0" fontId="70" fillId="0" borderId="0" xfId="4300" applyFont="1" applyAlignment="1">
      <alignment horizontal="center"/>
    </xf>
    <xf numFmtId="41" fontId="70" fillId="0" borderId="0" xfId="4300" applyNumberFormat="1" applyFont="1" applyAlignment="1">
      <alignment horizontal="center"/>
    </xf>
    <xf numFmtId="38" fontId="72" fillId="0" borderId="49" xfId="4300" applyNumberFormat="1" applyFont="1" applyBorder="1" applyAlignment="1">
      <alignment horizontal="center"/>
    </xf>
    <xf numFmtId="38" fontId="72" fillId="0" borderId="40" xfId="4300" applyNumberFormat="1" applyFont="1" applyBorder="1" applyAlignment="1">
      <alignment horizontal="center"/>
    </xf>
    <xf numFmtId="38" fontId="72" fillId="0" borderId="40" xfId="4300" applyNumberFormat="1" applyFont="1" applyFill="1" applyBorder="1" applyAlignment="1">
      <alignment horizontal="center"/>
    </xf>
    <xf numFmtId="38" fontId="72" fillId="0" borderId="41" xfId="4300" applyNumberFormat="1" applyFont="1" applyBorder="1" applyAlignment="1">
      <alignment horizontal="center"/>
    </xf>
    <xf numFmtId="38" fontId="72" fillId="0" borderId="0" xfId="4300" applyNumberFormat="1" applyFont="1" applyBorder="1" applyAlignment="1">
      <alignment horizontal="center" vertical="center" wrapText="1"/>
    </xf>
    <xf numFmtId="38" fontId="72" fillId="0" borderId="54" xfId="4300" applyNumberFormat="1" applyFont="1" applyBorder="1" applyAlignment="1">
      <alignment horizontal="center" vertical="center" wrapText="1"/>
    </xf>
    <xf numFmtId="38" fontId="72" fillId="0" borderId="42" xfId="4300" applyNumberFormat="1" applyFont="1" applyBorder="1" applyAlignment="1">
      <alignment horizontal="center" vertical="center" wrapText="1"/>
    </xf>
    <xf numFmtId="38" fontId="72" fillId="0" borderId="42" xfId="4300" applyNumberFormat="1" applyFont="1" applyFill="1" applyBorder="1" applyAlignment="1">
      <alignment horizontal="center" vertical="center" wrapText="1"/>
    </xf>
    <xf numFmtId="38" fontId="72" fillId="0" borderId="43" xfId="4300" applyNumberFormat="1" applyFont="1" applyBorder="1" applyAlignment="1">
      <alignment horizontal="center" vertical="center"/>
    </xf>
    <xf numFmtId="0" fontId="70" fillId="0" borderId="46" xfId="4300" applyFont="1" applyBorder="1" applyAlignment="1">
      <alignment horizontal="center"/>
    </xf>
    <xf numFmtId="0" fontId="70" fillId="28" borderId="55" xfId="4300" applyFont="1" applyFill="1" applyBorder="1" applyAlignment="1">
      <alignment horizontal="center"/>
    </xf>
    <xf numFmtId="41" fontId="72" fillId="0" borderId="56" xfId="4300" applyNumberFormat="1" applyFont="1" applyBorder="1"/>
    <xf numFmtId="41" fontId="72" fillId="0" borderId="57" xfId="4300" applyNumberFormat="1" applyFont="1" applyBorder="1"/>
    <xf numFmtId="41" fontId="72" fillId="0" borderId="58" xfId="4300" applyNumberFormat="1" applyFont="1" applyBorder="1"/>
    <xf numFmtId="41" fontId="72" fillId="0" borderId="56" xfId="4300" applyNumberFormat="1" applyFont="1" applyFill="1" applyBorder="1"/>
    <xf numFmtId="41" fontId="72" fillId="0" borderId="59" xfId="4300" applyNumberFormat="1" applyFont="1" applyFill="1" applyBorder="1"/>
    <xf numFmtId="41" fontId="72" fillId="0" borderId="60" xfId="4300" applyNumberFormat="1" applyFont="1" applyFill="1" applyBorder="1"/>
    <xf numFmtId="0" fontId="70" fillId="0" borderId="3" xfId="4300" applyFont="1" applyBorder="1" applyAlignment="1">
      <alignment horizontal="center"/>
    </xf>
    <xf numFmtId="0" fontId="72" fillId="0" borderId="3" xfId="4300" applyFont="1" applyFill="1" applyBorder="1" applyAlignment="1">
      <alignment vertical="center" wrapText="1"/>
    </xf>
    <xf numFmtId="0" fontId="72" fillId="0" borderId="7" xfId="4300" applyFont="1" applyFill="1" applyBorder="1" applyAlignment="1">
      <alignment vertical="center" wrapText="1"/>
    </xf>
    <xf numFmtId="41" fontId="72" fillId="0" borderId="6" xfId="4300" applyNumberFormat="1" applyFont="1" applyFill="1" applyBorder="1"/>
    <xf numFmtId="41" fontId="72" fillId="0" borderId="3" xfId="4300" applyNumberFormat="1" applyFont="1" applyFill="1" applyBorder="1"/>
    <xf numFmtId="0" fontId="70" fillId="0" borderId="3" xfId="4300" applyFont="1" applyFill="1" applyBorder="1" applyAlignment="1">
      <alignment horizontal="center" vertical="center"/>
    </xf>
    <xf numFmtId="0" fontId="72" fillId="0" borderId="10" xfId="4300" applyFont="1" applyFill="1" applyBorder="1" applyAlignment="1">
      <alignment vertical="center" wrapText="1"/>
    </xf>
    <xf numFmtId="43" fontId="72" fillId="0" borderId="3" xfId="4300" applyNumberFormat="1" applyFont="1" applyFill="1" applyBorder="1"/>
    <xf numFmtId="0" fontId="70" fillId="0" borderId="7" xfId="4300" applyFont="1" applyBorder="1" applyAlignment="1">
      <alignment horizontal="center"/>
    </xf>
    <xf numFmtId="0" fontId="70" fillId="28" borderId="46" xfId="4300" applyFont="1" applyFill="1" applyBorder="1" applyAlignment="1">
      <alignment horizontal="center"/>
    </xf>
    <xf numFmtId="0" fontId="70" fillId="28" borderId="48" xfId="4300" applyFont="1" applyFill="1" applyBorder="1" applyAlignment="1">
      <alignment horizontal="center" wrapText="1"/>
    </xf>
    <xf numFmtId="0" fontId="72" fillId="0" borderId="30" xfId="4300" applyFont="1" applyBorder="1"/>
    <xf numFmtId="0" fontId="75" fillId="0" borderId="47" xfId="4300" applyFont="1" applyFill="1" applyBorder="1" applyAlignment="1">
      <alignment horizontal="right" wrapText="1"/>
    </xf>
    <xf numFmtId="41" fontId="72" fillId="0" borderId="44" xfId="4300" applyNumberFormat="1" applyFont="1" applyBorder="1"/>
    <xf numFmtId="0" fontId="75" fillId="0" borderId="0" xfId="4300" applyFont="1" applyFill="1" applyBorder="1" applyAlignment="1">
      <alignment horizontal="right" wrapText="1"/>
    </xf>
    <xf numFmtId="41" fontId="72" fillId="0" borderId="45" xfId="4300" applyNumberFormat="1" applyFont="1" applyBorder="1"/>
    <xf numFmtId="0" fontId="72" fillId="28" borderId="46" xfId="4300" applyFont="1" applyFill="1" applyBorder="1"/>
    <xf numFmtId="0" fontId="72" fillId="0" borderId="0" xfId="4300" applyFont="1" applyAlignment="1">
      <alignment horizontal="center"/>
    </xf>
    <xf numFmtId="0" fontId="72" fillId="0" borderId="0" xfId="4300" applyFont="1" applyFill="1" applyBorder="1"/>
    <xf numFmtId="38" fontId="70" fillId="0" borderId="0" xfId="4300" applyNumberFormat="1" applyFont="1" applyBorder="1"/>
    <xf numFmtId="0" fontId="72" fillId="0" borderId="0" xfId="0" applyFont="1" applyFill="1" applyBorder="1"/>
    <xf numFmtId="0" fontId="72" fillId="0" borderId="2" xfId="0" applyFont="1" applyFill="1" applyBorder="1" applyAlignment="1">
      <alignment shrinkToFit="1"/>
    </xf>
    <xf numFmtId="165" fontId="72" fillId="0" borderId="6" xfId="13" applyNumberFormat="1" applyFont="1" applyFill="1" applyBorder="1"/>
    <xf numFmtId="39" fontId="72" fillId="0" borderId="6" xfId="13" applyNumberFormat="1" applyFont="1" applyFill="1" applyBorder="1" applyAlignment="1">
      <alignment horizontal="right"/>
    </xf>
    <xf numFmtId="167" fontId="72" fillId="0" borderId="6" xfId="13" applyNumberFormat="1" applyFont="1" applyFill="1" applyBorder="1" applyAlignment="1">
      <alignment horizontal="center"/>
    </xf>
    <xf numFmtId="167" fontId="72" fillId="0" borderId="6" xfId="13" applyNumberFormat="1" applyFont="1" applyFill="1" applyBorder="1"/>
    <xf numFmtId="165" fontId="72" fillId="0" borderId="6" xfId="13" applyNumberFormat="1" applyFont="1" applyFill="1" applyBorder="1" applyAlignment="1">
      <alignment horizontal="center"/>
    </xf>
    <xf numFmtId="165" fontId="72" fillId="0" borderId="6" xfId="13" applyNumberFormat="1" applyFont="1" applyFill="1" applyBorder="1" applyAlignment="1">
      <alignment horizontal="right"/>
    </xf>
    <xf numFmtId="166" fontId="70" fillId="0" borderId="0" xfId="14" applyNumberFormat="1" applyFont="1" applyFill="1" applyBorder="1"/>
    <xf numFmtId="0" fontId="73" fillId="0" borderId="0" xfId="0" applyFont="1" applyFill="1"/>
    <xf numFmtId="0" fontId="72" fillId="0" borderId="0" xfId="0" applyFont="1" applyBorder="1" applyAlignment="1">
      <alignment horizontal="center"/>
    </xf>
    <xf numFmtId="37" fontId="72" fillId="0" borderId="0" xfId="0" applyNumberFormat="1" applyFont="1" applyBorder="1" applyAlignment="1">
      <alignment horizontal="center"/>
    </xf>
    <xf numFmtId="0" fontId="70" fillId="3" borderId="12" xfId="0" applyFont="1" applyFill="1" applyBorder="1" applyAlignment="1">
      <alignment horizontal="center" vertical="center"/>
    </xf>
    <xf numFmtId="0" fontId="70" fillId="3" borderId="4" xfId="0" applyFont="1" applyFill="1" applyBorder="1" applyAlignment="1">
      <alignment horizontal="center" vertical="center"/>
    </xf>
    <xf numFmtId="3" fontId="70" fillId="3" borderId="35" xfId="0" applyNumberFormat="1" applyFont="1" applyFill="1" applyBorder="1" applyAlignment="1">
      <alignment horizontal="center" vertical="center"/>
    </xf>
    <xf numFmtId="3" fontId="75" fillId="3" borderId="10" xfId="0" applyNumberFormat="1" applyFont="1" applyFill="1" applyBorder="1" applyAlignment="1">
      <alignment horizontal="center" vertical="center" wrapText="1"/>
    </xf>
    <xf numFmtId="3" fontId="75" fillId="3" borderId="3" xfId="0" applyNumberFormat="1" applyFont="1" applyFill="1" applyBorder="1" applyAlignment="1">
      <alignment horizontal="center" vertical="center" wrapText="1"/>
    </xf>
    <xf numFmtId="3" fontId="70" fillId="3" borderId="5" xfId="0" applyNumberFormat="1" applyFont="1" applyFill="1" applyBorder="1" applyAlignment="1">
      <alignment horizontal="center" vertical="center" wrapText="1"/>
    </xf>
    <xf numFmtId="42" fontId="72" fillId="0" borderId="0" xfId="0" applyNumberFormat="1" applyFont="1" applyFill="1" applyBorder="1" applyAlignment="1">
      <alignment vertical="center"/>
    </xf>
    <xf numFmtId="42" fontId="70" fillId="0" borderId="3" xfId="0" applyNumberFormat="1" applyFont="1" applyFill="1" applyBorder="1" applyAlignment="1">
      <alignment vertical="center"/>
    </xf>
    <xf numFmtId="164" fontId="70" fillId="0" borderId="0" xfId="0" applyNumberFormat="1" applyFont="1" applyFill="1" applyAlignment="1">
      <alignment vertical="center"/>
    </xf>
    <xf numFmtId="164" fontId="73" fillId="0" borderId="0" xfId="10" applyNumberFormat="1" applyFont="1" applyFill="1" applyBorder="1" applyAlignment="1">
      <alignment vertical="center"/>
    </xf>
    <xf numFmtId="0" fontId="84" fillId="0" borderId="0" xfId="32600" applyFont="1" applyBorder="1" applyAlignment="1">
      <alignment vertical="center"/>
    </xf>
    <xf numFmtId="42" fontId="70" fillId="0" borderId="0" xfId="0" applyNumberFormat="1" applyFont="1" applyFill="1" applyBorder="1" applyAlignment="1">
      <alignment vertical="center"/>
    </xf>
    <xf numFmtId="164" fontId="75" fillId="0" borderId="39" xfId="10" applyNumberFormat="1" applyFont="1" applyFill="1" applyBorder="1" applyAlignment="1">
      <alignment vertical="center"/>
    </xf>
    <xf numFmtId="42" fontId="70" fillId="0" borderId="39" xfId="0" applyNumberFormat="1" applyFont="1" applyFill="1" applyBorder="1" applyAlignment="1">
      <alignment vertical="center"/>
    </xf>
    <xf numFmtId="0" fontId="85" fillId="4" borderId="14" xfId="0" applyFont="1" applyFill="1" applyBorder="1" applyAlignment="1">
      <alignment vertical="center"/>
    </xf>
    <xf numFmtId="167" fontId="72" fillId="0" borderId="7" xfId="16" applyNumberFormat="1" applyFont="1" applyFill="1" applyBorder="1"/>
    <xf numFmtId="167" fontId="72" fillId="0" borderId="6" xfId="16" applyNumberFormat="1" applyFont="1" applyFill="1" applyBorder="1"/>
    <xf numFmtId="167" fontId="70" fillId="0" borderId="3" xfId="16" applyNumberFormat="1" applyFont="1" applyFill="1" applyBorder="1"/>
    <xf numFmtId="167" fontId="70" fillId="0" borderId="3" xfId="16" applyNumberFormat="1" applyFont="1" applyFill="1" applyBorder="1" applyAlignment="1"/>
    <xf numFmtId="0" fontId="72" fillId="0" borderId="0" xfId="4300" applyFont="1" applyFill="1" applyBorder="1" applyAlignment="1">
      <alignment vertical="center" wrapText="1"/>
    </xf>
    <xf numFmtId="42" fontId="60" fillId="0" borderId="0" xfId="0" applyNumberFormat="1" applyFont="1" applyFill="1" applyBorder="1" applyAlignment="1">
      <alignment vertical="center"/>
    </xf>
    <xf numFmtId="0" fontId="72" fillId="0" borderId="0" xfId="12" applyFont="1" applyFill="1" applyBorder="1"/>
    <xf numFmtId="3" fontId="73" fillId="0" borderId="0" xfId="0" applyNumberFormat="1" applyFont="1" applyFill="1" applyAlignment="1">
      <alignment vertical="center"/>
    </xf>
    <xf numFmtId="0" fontId="70" fillId="3" borderId="3" xfId="12" applyFont="1" applyFill="1" applyBorder="1"/>
    <xf numFmtId="0" fontId="70" fillId="3" borderId="3" xfId="12" applyFont="1" applyFill="1" applyBorder="1" applyAlignment="1">
      <alignment horizontal="center"/>
    </xf>
    <xf numFmtId="167" fontId="70" fillId="3" borderId="3" xfId="50934" applyNumberFormat="1" applyFont="1" applyFill="1" applyBorder="1" applyAlignment="1">
      <alignment horizontal="center" wrapText="1"/>
    </xf>
    <xf numFmtId="167" fontId="70" fillId="3" borderId="3" xfId="50934" applyNumberFormat="1" applyFont="1" applyFill="1" applyBorder="1" applyAlignment="1">
      <alignment horizontal="center"/>
    </xf>
    <xf numFmtId="167" fontId="70" fillId="3" borderId="3" xfId="16" applyNumberFormat="1" applyFont="1" applyFill="1" applyBorder="1" applyAlignment="1">
      <alignment horizontal="center" wrapText="1"/>
    </xf>
    <xf numFmtId="0" fontId="82" fillId="0" borderId="0" xfId="50935" applyFont="1"/>
    <xf numFmtId="167" fontId="72" fillId="0" borderId="0" xfId="16" applyNumberFormat="1" applyFont="1" applyFill="1"/>
    <xf numFmtId="167" fontId="72" fillId="0" borderId="0" xfId="16" applyNumberFormat="1" applyFont="1" applyFill="1" applyBorder="1"/>
    <xf numFmtId="167" fontId="72" fillId="0" borderId="0" xfId="16" applyNumberFormat="1" applyFont="1" applyBorder="1"/>
    <xf numFmtId="164" fontId="70" fillId="0" borderId="0" xfId="12" applyNumberFormat="1" applyFont="1" applyFill="1"/>
    <xf numFmtId="43" fontId="72" fillId="0" borderId="0" xfId="12" applyNumberFormat="1" applyFont="1" applyFill="1"/>
    <xf numFmtId="0" fontId="70" fillId="0" borderId="0" xfId="12" applyFont="1"/>
    <xf numFmtId="167" fontId="72" fillId="0" borderId="0" xfId="50934" applyNumberFormat="1" applyFont="1" applyFill="1"/>
    <xf numFmtId="0" fontId="73" fillId="0" borderId="0" xfId="4300" applyFont="1"/>
    <xf numFmtId="167" fontId="82" fillId="0" borderId="0" xfId="50935" applyNumberFormat="1" applyFont="1"/>
    <xf numFmtId="0" fontId="73" fillId="0" borderId="0" xfId="50938" applyFont="1"/>
    <xf numFmtId="0" fontId="73" fillId="0" borderId="0" xfId="12" applyFont="1" applyFill="1"/>
    <xf numFmtId="167" fontId="72" fillId="0" borderId="0" xfId="50937" applyNumberFormat="1" applyFont="1" applyFill="1"/>
    <xf numFmtId="41" fontId="70" fillId="28" borderId="58" xfId="4300" applyNumberFormat="1" applyFont="1" applyFill="1" applyBorder="1"/>
    <xf numFmtId="42" fontId="72" fillId="0" borderId="0" xfId="4300" applyNumberFormat="1" applyFont="1"/>
    <xf numFmtId="42" fontId="72" fillId="0" borderId="0" xfId="1" applyNumberFormat="1" applyFont="1" applyFill="1" applyBorder="1" applyAlignment="1">
      <alignment horizontal="center"/>
    </xf>
    <xf numFmtId="42" fontId="70" fillId="0" borderId="3" xfId="1" applyNumberFormat="1" applyFont="1" applyFill="1" applyBorder="1" applyAlignment="1">
      <alignment horizontal="center"/>
    </xf>
    <xf numFmtId="42" fontId="70" fillId="0" borderId="0" xfId="1" applyNumberFormat="1" applyFont="1" applyFill="1" applyBorder="1" applyAlignment="1">
      <alignment horizontal="center"/>
    </xf>
    <xf numFmtId="42" fontId="70" fillId="0" borderId="39" xfId="1" applyNumberFormat="1" applyFont="1" applyFill="1" applyBorder="1" applyAlignment="1">
      <alignment horizontal="center"/>
    </xf>
    <xf numFmtId="0" fontId="70" fillId="0" borderId="11" xfId="0" applyFont="1" applyFill="1" applyBorder="1" applyAlignment="1">
      <alignment horizontal="center" vertical="center"/>
    </xf>
    <xf numFmtId="3" fontId="70" fillId="0" borderId="11" xfId="0" applyNumberFormat="1" applyFont="1" applyFill="1" applyBorder="1" applyAlignment="1">
      <alignment horizontal="center" vertical="center"/>
    </xf>
    <xf numFmtId="3" fontId="75"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center" vertical="center" wrapText="1"/>
    </xf>
    <xf numFmtId="167" fontId="82" fillId="0" borderId="0" xfId="16" applyNumberFormat="1" applyFont="1"/>
    <xf numFmtId="167" fontId="72" fillId="0" borderId="0" xfId="12" applyNumberFormat="1" applyFont="1" applyFill="1"/>
    <xf numFmtId="0" fontId="78" fillId="0" borderId="0" xfId="0" applyFont="1" applyAlignment="1">
      <alignment horizontal="center"/>
    </xf>
    <xf numFmtId="0" fontId="83" fillId="0" borderId="0" xfId="0" applyFont="1" applyAlignment="1">
      <alignment horizontal="center"/>
    </xf>
    <xf numFmtId="0" fontId="70" fillId="3" borderId="3" xfId="0" applyFont="1" applyFill="1" applyBorder="1" applyAlignment="1">
      <alignment horizontal="center" wrapText="1"/>
    </xf>
    <xf numFmtId="0" fontId="70" fillId="3" borderId="5" xfId="0" applyFont="1" applyFill="1" applyBorder="1" applyAlignment="1">
      <alignment horizontal="center" wrapText="1"/>
    </xf>
    <xf numFmtId="0" fontId="72" fillId="0" borderId="0" xfId="0" applyFont="1" applyAlignment="1">
      <alignment wrapText="1"/>
    </xf>
    <xf numFmtId="0" fontId="72" fillId="0" borderId="6" xfId="0" applyFont="1" applyBorder="1"/>
    <xf numFmtId="0" fontId="72" fillId="0" borderId="2" xfId="0" applyFont="1" applyBorder="1"/>
    <xf numFmtId="0" fontId="72" fillId="0" borderId="6" xfId="0" applyFont="1" applyBorder="1" applyAlignment="1">
      <alignment shrinkToFit="1"/>
    </xf>
    <xf numFmtId="0" fontId="72" fillId="0" borderId="2" xfId="0" applyFont="1" applyBorder="1" applyAlignment="1">
      <alignment shrinkToFit="1"/>
    </xf>
    <xf numFmtId="165" fontId="72" fillId="0" borderId="6" xfId="13" applyNumberFormat="1" applyFont="1" applyBorder="1"/>
    <xf numFmtId="0" fontId="72" fillId="0" borderId="0" xfId="0" applyFont="1" applyBorder="1"/>
    <xf numFmtId="3" fontId="72" fillId="0" borderId="0" xfId="0" applyNumberFormat="1" applyFont="1" applyBorder="1"/>
    <xf numFmtId="0" fontId="70" fillId="0" borderId="0" xfId="0" applyFont="1" applyBorder="1"/>
    <xf numFmtId="3" fontId="70" fillId="0" borderId="0" xfId="0" applyNumberFormat="1" applyFont="1" applyBorder="1"/>
    <xf numFmtId="0" fontId="70" fillId="0" borderId="0" xfId="0" applyFont="1"/>
    <xf numFmtId="166" fontId="70" fillId="0" borderId="0" xfId="14" applyNumberFormat="1" applyFont="1" applyBorder="1"/>
    <xf numFmtId="0" fontId="0" fillId="0" borderId="0" xfId="0" applyFill="1"/>
    <xf numFmtId="41" fontId="71" fillId="0" borderId="0" xfId="4300" applyNumberFormat="1" applyFont="1" applyAlignment="1"/>
    <xf numFmtId="41" fontId="71" fillId="29" borderId="9" xfId="4300" applyNumberFormat="1" applyFont="1" applyFill="1" applyBorder="1" applyAlignment="1">
      <alignment horizontal="left"/>
    </xf>
    <xf numFmtId="41" fontId="71" fillId="29" borderId="8" xfId="4300" applyNumberFormat="1" applyFont="1" applyFill="1" applyBorder="1" applyAlignment="1">
      <alignment horizontal="left"/>
    </xf>
    <xf numFmtId="41" fontId="71" fillId="29" borderId="0" xfId="4300" quotePrefix="1" applyNumberFormat="1" applyFont="1" applyFill="1" applyBorder="1" applyAlignment="1"/>
    <xf numFmtId="41" fontId="71" fillId="29" borderId="2" xfId="4300" applyNumberFormat="1" applyFont="1" applyFill="1" applyBorder="1" applyAlignment="1">
      <alignment horizontal="left"/>
    </xf>
    <xf numFmtId="41" fontId="71" fillId="29" borderId="14" xfId="4300" applyNumberFormat="1" applyFont="1" applyFill="1" applyBorder="1" applyAlignment="1">
      <alignment horizontal="left"/>
    </xf>
    <xf numFmtId="41" fontId="71" fillId="0" borderId="0" xfId="50939" applyNumberFormat="1" applyFont="1" applyAlignment="1"/>
    <xf numFmtId="14" fontId="71" fillId="29" borderId="0" xfId="4300" quotePrefix="1" applyNumberFormat="1" applyFont="1" applyFill="1" applyBorder="1" applyAlignment="1"/>
    <xf numFmtId="41" fontId="71" fillId="0" borderId="0" xfId="4300" applyNumberFormat="1" applyFont="1"/>
    <xf numFmtId="41" fontId="71" fillId="29" borderId="0" xfId="4300" quotePrefix="1" applyNumberFormat="1" applyFont="1" applyFill="1" applyBorder="1"/>
    <xf numFmtId="41" fontId="70" fillId="0" borderId="61" xfId="4300" quotePrefix="1" applyNumberFormat="1" applyFont="1" applyBorder="1" applyAlignment="1">
      <alignment horizontal="center"/>
    </xf>
    <xf numFmtId="41" fontId="71" fillId="0" borderId="0" xfId="4300" quotePrefix="1" applyNumberFormat="1" applyFont="1" applyBorder="1"/>
    <xf numFmtId="41" fontId="71" fillId="0" borderId="0" xfId="4300" applyNumberFormat="1" applyFont="1" applyBorder="1"/>
    <xf numFmtId="41" fontId="18" fillId="0" borderId="0" xfId="4300" applyNumberFormat="1" applyAlignment="1"/>
    <xf numFmtId="41" fontId="71" fillId="0" borderId="0" xfId="50940" applyNumberFormat="1" applyFont="1" applyAlignment="1"/>
    <xf numFmtId="41" fontId="18" fillId="0" borderId="0" xfId="4300" applyNumberFormat="1"/>
    <xf numFmtId="41" fontId="70" fillId="0" borderId="0" xfId="4300" applyNumberFormat="1" applyFont="1"/>
    <xf numFmtId="43" fontId="0" fillId="0" borderId="0" xfId="1" applyFont="1"/>
    <xf numFmtId="41" fontId="25" fillId="0" borderId="0" xfId="4300" applyNumberFormat="1" applyFont="1"/>
    <xf numFmtId="0" fontId="71" fillId="0" borderId="0" xfId="4300" applyFont="1" applyAlignment="1"/>
    <xf numFmtId="43" fontId="71" fillId="0" borderId="0" xfId="1" applyFont="1" applyAlignment="1"/>
    <xf numFmtId="15" fontId="71" fillId="0" borderId="0" xfId="50940" applyNumberFormat="1" applyFont="1" applyAlignment="1"/>
    <xf numFmtId="41" fontId="71" fillId="0" borderId="0" xfId="16" applyNumberFormat="1" applyFont="1" applyAlignment="1"/>
    <xf numFmtId="0" fontId="71" fillId="0" borderId="0" xfId="50940" applyFont="1" applyAlignment="1"/>
    <xf numFmtId="41" fontId="71" fillId="0" borderId="0" xfId="16" applyNumberFormat="1" applyFont="1"/>
    <xf numFmtId="0" fontId="71" fillId="0" borderId="0" xfId="4300" applyFont="1"/>
    <xf numFmtId="43" fontId="71" fillId="0" borderId="0" xfId="1" applyFont="1"/>
    <xf numFmtId="169" fontId="71" fillId="0" borderId="0" xfId="4300" applyNumberFormat="1" applyFont="1"/>
    <xf numFmtId="165" fontId="71" fillId="0" borderId="0" xfId="4300" applyNumberFormat="1" applyFont="1"/>
    <xf numFmtId="8" fontId="71" fillId="0" borderId="0" xfId="4300" applyNumberFormat="1" applyFont="1"/>
    <xf numFmtId="0" fontId="71" fillId="0" borderId="0" xfId="4300" applyFont="1" applyFill="1"/>
    <xf numFmtId="43" fontId="71" fillId="0" borderId="0" xfId="1" applyFont="1" applyFill="1"/>
    <xf numFmtId="0" fontId="18" fillId="0" borderId="0" xfId="4300" applyAlignment="1"/>
    <xf numFmtId="0" fontId="18" fillId="0" borderId="0" xfId="4300"/>
    <xf numFmtId="169" fontId="18" fillId="0" borderId="0" xfId="4300" applyNumberFormat="1"/>
    <xf numFmtId="0" fontId="70" fillId="0" borderId="62" xfId="4300" applyFont="1" applyBorder="1" applyAlignment="1">
      <alignment horizontal="center"/>
    </xf>
    <xf numFmtId="0" fontId="72" fillId="0" borderId="62" xfId="4300" applyFont="1" applyFill="1" applyBorder="1" applyAlignment="1">
      <alignment vertical="center" wrapText="1"/>
    </xf>
    <xf numFmtId="41" fontId="72" fillId="0" borderId="63" xfId="4300" applyNumberFormat="1" applyFont="1" applyFill="1" applyBorder="1"/>
    <xf numFmtId="41" fontId="72" fillId="0" borderId="29" xfId="4300" applyNumberFormat="1" applyFont="1" applyFill="1" applyBorder="1"/>
    <xf numFmtId="165" fontId="72" fillId="0" borderId="62" xfId="13" applyNumberFormat="1" applyFont="1" applyFill="1" applyBorder="1"/>
    <xf numFmtId="0" fontId="72" fillId="0" borderId="62" xfId="0" applyFont="1" applyBorder="1" applyAlignment="1">
      <alignment shrinkToFit="1"/>
    </xf>
    <xf numFmtId="0" fontId="72" fillId="0" borderId="64" xfId="0" applyFont="1" applyBorder="1" applyAlignment="1">
      <alignment shrinkToFit="1"/>
    </xf>
    <xf numFmtId="41" fontId="71" fillId="29" borderId="64" xfId="4300" applyNumberFormat="1" applyFont="1" applyFill="1" applyBorder="1" applyAlignment="1">
      <alignment horizontal="left"/>
    </xf>
    <xf numFmtId="41" fontId="71" fillId="0" borderId="65" xfId="4300" applyNumberFormat="1" applyFont="1" applyBorder="1"/>
    <xf numFmtId="165" fontId="72" fillId="0" borderId="3" xfId="4300" applyNumberFormat="1" applyFont="1" applyFill="1" applyBorder="1"/>
    <xf numFmtId="41" fontId="70" fillId="0" borderId="66" xfId="4300" quotePrefix="1" applyNumberFormat="1" applyFont="1" applyBorder="1" applyAlignment="1">
      <alignment horizontal="center"/>
    </xf>
    <xf numFmtId="42" fontId="60" fillId="0" borderId="0" xfId="0" applyNumberFormat="1" applyFont="1" applyFill="1" applyAlignment="1">
      <alignment vertical="center"/>
    </xf>
    <xf numFmtId="17" fontId="70" fillId="0" borderId="0" xfId="0" applyNumberFormat="1" applyFont="1" applyBorder="1" applyAlignment="1">
      <alignment horizontal="center"/>
    </xf>
    <xf numFmtId="41" fontId="70" fillId="0" borderId="66" xfId="50939" quotePrefix="1" applyNumberFormat="1" applyFont="1" applyBorder="1" applyAlignment="1">
      <alignment horizontal="left"/>
    </xf>
    <xf numFmtId="41" fontId="70" fillId="0" borderId="66" xfId="50940" quotePrefix="1" applyNumberFormat="1" applyFont="1" applyBorder="1" applyAlignment="1">
      <alignment horizontal="left"/>
    </xf>
    <xf numFmtId="0" fontId="70" fillId="0" borderId="66" xfId="50940" quotePrefix="1" applyFont="1" applyBorder="1" applyAlignment="1">
      <alignment horizontal="left"/>
    </xf>
    <xf numFmtId="41" fontId="60" fillId="0" borderId="0" xfId="0" applyNumberFormat="1" applyFont="1"/>
    <xf numFmtId="0" fontId="60" fillId="0" borderId="0" xfId="0" applyFont="1" applyBorder="1"/>
    <xf numFmtId="0" fontId="70" fillId="0" borderId="67" xfId="12" applyFont="1" applyFill="1" applyBorder="1" applyAlignment="1">
      <alignment horizontal="center"/>
    </xf>
    <xf numFmtId="0" fontId="70" fillId="0" borderId="67" xfId="12" applyFont="1" applyBorder="1" applyAlignment="1">
      <alignment horizontal="center"/>
    </xf>
    <xf numFmtId="167" fontId="70" fillId="0" borderId="67" xfId="16" applyNumberFormat="1" applyFont="1" applyFill="1" applyBorder="1" applyAlignment="1">
      <alignment horizontal="center"/>
    </xf>
    <xf numFmtId="167" fontId="86" fillId="0" borderId="67" xfId="14204" applyNumberFormat="1" applyFont="1" applyFill="1" applyBorder="1" applyAlignment="1">
      <alignment horizontal="center"/>
    </xf>
    <xf numFmtId="41" fontId="70" fillId="0" borderId="61" xfId="50939" quotePrefix="1" applyNumberFormat="1" applyFont="1" applyBorder="1" applyAlignment="1">
      <alignment horizontal="center"/>
    </xf>
    <xf numFmtId="41" fontId="70" fillId="0" borderId="66" xfId="1" applyNumberFormat="1" applyFont="1" applyBorder="1" applyAlignment="1"/>
    <xf numFmtId="41" fontId="70" fillId="0" borderId="66" xfId="50940" applyNumberFormat="1" applyFont="1" applyBorder="1" applyAlignment="1"/>
    <xf numFmtId="41" fontId="72" fillId="0" borderId="0" xfId="4300" quotePrefix="1" applyNumberFormat="1" applyFont="1" applyAlignment="1">
      <alignment horizontal="left"/>
    </xf>
    <xf numFmtId="41" fontId="72" fillId="0" borderId="0" xfId="4300" applyNumberFormat="1" applyFont="1" applyBorder="1"/>
    <xf numFmtId="0" fontId="72" fillId="0" borderId="0" xfId="50940" applyFont="1" applyFill="1" applyAlignment="1">
      <alignment horizontal="left"/>
    </xf>
    <xf numFmtId="0" fontId="73" fillId="0" borderId="0" xfId="3" applyFont="1" applyFill="1"/>
    <xf numFmtId="41" fontId="72" fillId="0" borderId="68" xfId="4300" applyNumberFormat="1" applyFont="1" applyFill="1" applyBorder="1"/>
    <xf numFmtId="165" fontId="72" fillId="0" borderId="3" xfId="1" applyNumberFormat="1" applyFont="1" applyFill="1" applyBorder="1"/>
    <xf numFmtId="41" fontId="72" fillId="0" borderId="69" xfId="4300" applyNumberFormat="1" applyFont="1" applyFill="1" applyBorder="1"/>
    <xf numFmtId="43" fontId="72" fillId="0" borderId="6" xfId="4300" applyNumberFormat="1" applyFont="1" applyFill="1" applyBorder="1"/>
    <xf numFmtId="165" fontId="72" fillId="0" borderId="6" xfId="1" applyNumberFormat="1" applyFont="1" applyFill="1" applyBorder="1"/>
    <xf numFmtId="41" fontId="70" fillId="28" borderId="71" xfId="4300" applyNumberFormat="1" applyFont="1" applyFill="1" applyBorder="1"/>
    <xf numFmtId="41" fontId="72" fillId="0" borderId="31" xfId="4300" applyNumberFormat="1" applyFont="1" applyFill="1" applyBorder="1"/>
    <xf numFmtId="41" fontId="70" fillId="28" borderId="70" xfId="4300" applyNumberFormat="1" applyFont="1" applyFill="1" applyBorder="1"/>
    <xf numFmtId="0" fontId="73" fillId="0" borderId="0" xfId="0" applyFont="1" applyBorder="1"/>
    <xf numFmtId="0" fontId="70" fillId="0" borderId="0" xfId="0" applyFont="1" applyAlignment="1">
      <alignment horizontal="center"/>
    </xf>
    <xf numFmtId="171" fontId="72" fillId="0" borderId="6" xfId="13" applyNumberFormat="1" applyFont="1" applyBorder="1"/>
    <xf numFmtId="0" fontId="73" fillId="0" borderId="0" xfId="0" applyFont="1" applyBorder="1" applyAlignment="1">
      <alignment horizontal="right"/>
    </xf>
    <xf numFmtId="0" fontId="73" fillId="0" borderId="0" xfId="0" applyFont="1"/>
    <xf numFmtId="0" fontId="0" fillId="0" borderId="0" xfId="0" applyBorder="1"/>
    <xf numFmtId="0" fontId="72" fillId="0" borderId="0" xfId="0" applyFont="1" applyBorder="1" applyAlignment="1">
      <alignment shrinkToFit="1"/>
    </xf>
    <xf numFmtId="0" fontId="73" fillId="0" borderId="0" xfId="0" applyFont="1" applyBorder="1" applyAlignment="1">
      <alignment shrinkToFit="1"/>
    </xf>
    <xf numFmtId="41" fontId="70" fillId="0" borderId="0" xfId="50939" applyNumberFormat="1" applyFont="1" applyAlignment="1">
      <alignment horizontal="center"/>
    </xf>
    <xf numFmtId="41" fontId="70" fillId="0" borderId="0" xfId="50940" applyNumberFormat="1" applyFont="1" applyAlignment="1">
      <alignment horizontal="center"/>
    </xf>
    <xf numFmtId="14" fontId="70" fillId="0" borderId="61" xfId="50940" quotePrefix="1" applyNumberFormat="1" applyFont="1" applyBorder="1" applyAlignment="1">
      <alignment horizontal="center"/>
    </xf>
    <xf numFmtId="0" fontId="75" fillId="0" borderId="0" xfId="0" applyFont="1" applyFill="1" applyAlignment="1">
      <alignment horizontal="center" vertical="center"/>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70" fillId="0" borderId="50" xfId="4300" applyFont="1" applyFill="1" applyBorder="1" applyAlignment="1">
      <alignment horizontal="center"/>
    </xf>
    <xf numFmtId="0" fontId="70" fillId="0" borderId="51" xfId="4300" applyFont="1" applyFill="1" applyBorder="1" applyAlignment="1">
      <alignment horizontal="center"/>
    </xf>
    <xf numFmtId="0" fontId="70" fillId="0" borderId="52" xfId="4300" applyFont="1" applyFill="1" applyBorder="1" applyAlignment="1">
      <alignment horizontal="center" vertical="center"/>
    </xf>
    <xf numFmtId="0" fontId="70" fillId="0" borderId="53" xfId="4300" applyFont="1" applyFill="1" applyBorder="1" applyAlignment="1">
      <alignment horizontal="center" vertical="center"/>
    </xf>
    <xf numFmtId="0" fontId="70" fillId="0" borderId="0" xfId="12" applyFont="1" applyFill="1" applyAlignment="1">
      <alignment horizontal="center"/>
    </xf>
    <xf numFmtId="0" fontId="70" fillId="0" borderId="0" xfId="12" applyFont="1" applyFill="1" applyBorder="1" applyAlignment="1">
      <alignment horizontal="center"/>
    </xf>
    <xf numFmtId="0" fontId="70" fillId="0" borderId="5" xfId="12" applyFont="1" applyBorder="1" applyAlignment="1">
      <alignment horizontal="center"/>
    </xf>
    <xf numFmtId="0" fontId="70" fillId="0" borderId="10" xfId="12" applyFont="1" applyBorder="1" applyAlignment="1">
      <alignment horizontal="center"/>
    </xf>
    <xf numFmtId="0" fontId="70" fillId="0" borderId="5" xfId="10" applyFont="1" applyFill="1" applyBorder="1" applyAlignment="1">
      <alignment horizontal="right" vertical="center"/>
    </xf>
    <xf numFmtId="0" fontId="70" fillId="0" borderId="10" xfId="10" applyFont="1" applyFill="1" applyBorder="1" applyAlignment="1">
      <alignment horizontal="right" vertical="center"/>
    </xf>
    <xf numFmtId="0" fontId="72" fillId="5" borderId="9" xfId="0" applyFont="1" applyFill="1" applyBorder="1" applyAlignment="1">
      <alignment horizontal="center"/>
    </xf>
    <xf numFmtId="0" fontId="72" fillId="5" borderId="11" xfId="0" applyFont="1" applyFill="1" applyBorder="1" applyAlignment="1">
      <alignment horizontal="center"/>
    </xf>
    <xf numFmtId="0" fontId="70" fillId="5" borderId="5" xfId="0" applyFont="1" applyFill="1" applyBorder="1" applyAlignment="1">
      <alignment horizontal="center"/>
    </xf>
    <xf numFmtId="0" fontId="70" fillId="5" borderId="13" xfId="0" applyFont="1" applyFill="1" applyBorder="1" applyAlignment="1">
      <alignment horizontal="center"/>
    </xf>
    <xf numFmtId="0" fontId="75" fillId="0" borderId="5" xfId="10" applyFont="1" applyFill="1" applyBorder="1" applyAlignment="1">
      <alignment horizontal="right" vertical="center"/>
    </xf>
    <xf numFmtId="0" fontId="75" fillId="0" borderId="10" xfId="10" applyFont="1" applyFill="1" applyBorder="1" applyAlignment="1">
      <alignment horizontal="right" vertical="center"/>
    </xf>
    <xf numFmtId="41" fontId="75" fillId="0" borderId="0" xfId="50939" applyNumberFormat="1" applyFont="1" applyAlignment="1">
      <alignment horizontal="center"/>
    </xf>
    <xf numFmtId="41" fontId="70" fillId="0" borderId="0" xfId="50939" applyNumberFormat="1" applyFont="1" applyAlignment="1">
      <alignment horizontal="center"/>
    </xf>
    <xf numFmtId="170" fontId="70" fillId="0" borderId="0" xfId="50939" quotePrefix="1" applyNumberFormat="1" applyFont="1" applyAlignment="1">
      <alignment horizontal="center"/>
    </xf>
    <xf numFmtId="41" fontId="75" fillId="0" borderId="0" xfId="50940" applyNumberFormat="1" applyFont="1" applyAlignment="1">
      <alignment horizontal="center"/>
    </xf>
    <xf numFmtId="41" fontId="88" fillId="0" borderId="0" xfId="4300" applyNumberFormat="1" applyFont="1" applyAlignment="1">
      <alignment horizontal="center"/>
    </xf>
    <xf numFmtId="41" fontId="70" fillId="0" borderId="0" xfId="50940" applyNumberFormat="1" applyFont="1" applyAlignment="1">
      <alignment horizontal="center"/>
    </xf>
    <xf numFmtId="41" fontId="71" fillId="0" borderId="0" xfId="4300" applyNumberFormat="1" applyFont="1" applyAlignment="1">
      <alignment horizontal="center"/>
    </xf>
    <xf numFmtId="170" fontId="70" fillId="0" borderId="0" xfId="50940" quotePrefix="1" applyNumberFormat="1" applyFont="1" applyAlignment="1">
      <alignment horizontal="center"/>
    </xf>
    <xf numFmtId="170" fontId="71" fillId="0" borderId="0" xfId="4300" applyNumberFormat="1" applyFont="1" applyAlignment="1">
      <alignment horizontal="center"/>
    </xf>
    <xf numFmtId="0" fontId="75" fillId="0" borderId="0" xfId="50940" applyFont="1" applyAlignment="1">
      <alignment horizontal="center"/>
    </xf>
    <xf numFmtId="0" fontId="88" fillId="0" borderId="0" xfId="4300" applyFont="1" applyAlignment="1">
      <alignment horizontal="center"/>
    </xf>
    <xf numFmtId="0" fontId="70" fillId="0" borderId="0" xfId="50940" applyFont="1" applyAlignment="1">
      <alignment horizontal="center"/>
    </xf>
    <xf numFmtId="0" fontId="71" fillId="0" borderId="0" xfId="4300" applyFont="1" applyAlignment="1">
      <alignment horizontal="center"/>
    </xf>
    <xf numFmtId="0" fontId="75" fillId="0" borderId="0" xfId="3" applyFont="1" applyFill="1" applyBorder="1" applyAlignment="1">
      <alignment horizontal="left"/>
    </xf>
    <xf numFmtId="0" fontId="73" fillId="0" borderId="0" xfId="0" applyFont="1" applyBorder="1"/>
    <xf numFmtId="0" fontId="21" fillId="0" borderId="0" xfId="0" applyFont="1" applyFill="1" applyBorder="1" applyAlignment="1">
      <alignment horizontal="center"/>
    </xf>
    <xf numFmtId="0" fontId="57" fillId="0" borderId="0" xfId="3" applyFont="1" applyFill="1" applyAlignment="1">
      <alignment horizontal="center"/>
    </xf>
    <xf numFmtId="0" fontId="21" fillId="0" borderId="0" xfId="3" applyFont="1" applyFill="1" applyAlignment="1">
      <alignment horizontal="center"/>
    </xf>
    <xf numFmtId="0" fontId="70" fillId="0" borderId="0" xfId="0" applyFont="1" applyAlignment="1">
      <alignment horizontal="center"/>
    </xf>
    <xf numFmtId="49" fontId="70" fillId="0" borderId="0" xfId="0" applyNumberFormat="1" applyFont="1" applyAlignment="1">
      <alignment horizontal="center"/>
    </xf>
    <xf numFmtId="0" fontId="87" fillId="0" borderId="0" xfId="0" applyFont="1" applyAlignment="1">
      <alignment horizontal="center"/>
    </xf>
  </cellXfs>
  <cellStyles count="50941">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xfId="50939"/>
    <cellStyle name="Normal__Art II Earned Federal Funds Template 2" xfId="50940"/>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7"/>
  <sheetViews>
    <sheetView tabSelected="1" zoomScale="80" zoomScaleNormal="80" workbookViewId="0">
      <pane xSplit="3" ySplit="4" topLeftCell="D8" activePane="bottomRight" state="frozen"/>
      <selection activeCell="F14" sqref="F14"/>
      <selection pane="topRight" activeCell="F14" sqref="F14"/>
      <selection pane="bottomLeft" activeCell="F14" sqref="F14"/>
      <selection pane="bottomRight" activeCell="B71" sqref="B71"/>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20" t="s">
        <v>3</v>
      </c>
      <c r="B1" s="520"/>
      <c r="C1" s="520"/>
      <c r="D1" s="520"/>
      <c r="E1" s="520"/>
      <c r="F1" s="520"/>
      <c r="G1" s="520"/>
      <c r="H1" s="520"/>
      <c r="I1" s="520"/>
      <c r="J1" s="520"/>
      <c r="K1" s="520"/>
      <c r="L1" s="520"/>
      <c r="M1" s="138"/>
    </row>
    <row r="2" spans="1:16" s="67" customFormat="1" ht="18" customHeight="1">
      <c r="A2" s="521" t="s">
        <v>232</v>
      </c>
      <c r="B2" s="521"/>
      <c r="C2" s="521"/>
      <c r="D2" s="521"/>
      <c r="E2" s="521"/>
      <c r="F2" s="521"/>
      <c r="G2" s="521"/>
      <c r="H2" s="521"/>
      <c r="I2" s="521"/>
      <c r="J2" s="521"/>
      <c r="K2" s="521"/>
      <c r="L2" s="521"/>
      <c r="M2" s="139"/>
    </row>
    <row r="3" spans="1:16" s="67" customFormat="1" ht="18" customHeight="1">
      <c r="A3" s="522" t="s">
        <v>424</v>
      </c>
      <c r="B3" s="522"/>
      <c r="C3" s="522"/>
      <c r="D3" s="522"/>
      <c r="E3" s="522"/>
      <c r="F3" s="522"/>
      <c r="G3" s="522"/>
      <c r="H3" s="522"/>
      <c r="I3" s="522"/>
      <c r="J3" s="522"/>
      <c r="K3" s="522"/>
      <c r="L3" s="522"/>
      <c r="M3" s="139"/>
    </row>
    <row r="4" spans="1:16" s="71" customFormat="1" ht="31.2">
      <c r="A4" s="140"/>
      <c r="B4" s="141"/>
      <c r="C4" s="142" t="s">
        <v>233</v>
      </c>
      <c r="D4" s="142" t="s">
        <v>169</v>
      </c>
      <c r="E4" s="99" t="s">
        <v>283</v>
      </c>
      <c r="F4" s="142" t="s">
        <v>251</v>
      </c>
      <c r="G4" s="142" t="s">
        <v>168</v>
      </c>
      <c r="H4" s="99" t="s">
        <v>33</v>
      </c>
      <c r="I4" s="142" t="s">
        <v>49</v>
      </c>
      <c r="J4" s="142" t="s">
        <v>50</v>
      </c>
      <c r="K4" s="143" t="s">
        <v>34</v>
      </c>
      <c r="L4" s="143" t="s">
        <v>35</v>
      </c>
      <c r="M4" s="139"/>
    </row>
    <row r="5" spans="1:16" s="63" customFormat="1" ht="18" customHeight="1">
      <c r="A5" s="144" t="s">
        <v>24</v>
      </c>
      <c r="B5" s="145" t="s">
        <v>7</v>
      </c>
      <c r="C5" s="146">
        <v>21297356</v>
      </c>
      <c r="D5" s="146">
        <f>E5+G5</f>
        <v>476014</v>
      </c>
      <c r="E5" s="146">
        <v>480949</v>
      </c>
      <c r="F5" s="410" t="s">
        <v>376</v>
      </c>
      <c r="G5" s="146">
        <v>-4935</v>
      </c>
      <c r="H5" s="148" t="s">
        <v>215</v>
      </c>
      <c r="I5" s="146">
        <v>21773370</v>
      </c>
      <c r="J5" s="146">
        <v>19795716.39000003</v>
      </c>
      <c r="K5" s="146">
        <v>21773370</v>
      </c>
      <c r="L5" s="146">
        <f>I5-K5</f>
        <v>0</v>
      </c>
      <c r="M5" s="149">
        <f>I5-C5-D5</f>
        <v>0</v>
      </c>
    </row>
    <row r="6" spans="1:16" s="72" customFormat="1" ht="7.5" customHeight="1">
      <c r="A6" s="144"/>
      <c r="B6" s="145"/>
      <c r="C6" s="146"/>
      <c r="D6" s="146"/>
      <c r="E6" s="146"/>
      <c r="F6" s="410"/>
      <c r="G6" s="148"/>
      <c r="H6" s="148"/>
      <c r="I6" s="146"/>
      <c r="J6" s="146"/>
      <c r="K6" s="146"/>
      <c r="L6" s="146"/>
      <c r="M6" s="149">
        <f t="shared" ref="M6:M36" si="0">I6-C6-D6</f>
        <v>0</v>
      </c>
    </row>
    <row r="7" spans="1:16" s="73" customFormat="1" ht="18" customHeight="1">
      <c r="A7" s="150" t="s">
        <v>345</v>
      </c>
      <c r="B7" s="151"/>
      <c r="C7" s="152">
        <f>C5</f>
        <v>21297356</v>
      </c>
      <c r="D7" s="152">
        <f>D5</f>
        <v>476014</v>
      </c>
      <c r="E7" s="152">
        <v>480949</v>
      </c>
      <c r="F7" s="411"/>
      <c r="G7" s="153">
        <f>G5</f>
        <v>-4935</v>
      </c>
      <c r="H7" s="153"/>
      <c r="I7" s="152">
        <f>I5</f>
        <v>21773370</v>
      </c>
      <c r="J7" s="152">
        <f>J5</f>
        <v>19795716.39000003</v>
      </c>
      <c r="K7" s="152">
        <f>K5</f>
        <v>21773370</v>
      </c>
      <c r="L7" s="152">
        <f>L5</f>
        <v>0</v>
      </c>
      <c r="M7" s="149">
        <f t="shared" si="0"/>
        <v>0</v>
      </c>
      <c r="N7" s="63"/>
      <c r="O7" s="63"/>
      <c r="P7" s="63"/>
    </row>
    <row r="8" spans="1:16" s="64" customFormat="1" ht="18" customHeight="1">
      <c r="A8" s="154" t="s">
        <v>25</v>
      </c>
      <c r="B8" s="145" t="s">
        <v>8</v>
      </c>
      <c r="C8" s="146">
        <v>548765797</v>
      </c>
      <c r="D8" s="146">
        <f>E8+G8</f>
        <v>135221527</v>
      </c>
      <c r="E8" s="146">
        <v>132206788</v>
      </c>
      <c r="F8" s="410" t="s">
        <v>409</v>
      </c>
      <c r="G8" s="146">
        <v>3014739</v>
      </c>
      <c r="H8" s="148" t="s">
        <v>432</v>
      </c>
      <c r="I8" s="146">
        <v>683987324</v>
      </c>
      <c r="J8" s="146">
        <v>579720971.79997993</v>
      </c>
      <c r="K8" s="146">
        <v>678713894</v>
      </c>
      <c r="L8" s="146">
        <f t="shared" ref="L8:L19" si="1">I8-K8</f>
        <v>5273430</v>
      </c>
      <c r="M8" s="149">
        <f>I8-C8-D8</f>
        <v>0</v>
      </c>
      <c r="N8" s="63"/>
      <c r="O8" s="146"/>
      <c r="P8" s="63"/>
    </row>
    <row r="9" spans="1:16" s="64" customFormat="1" ht="18" customHeight="1">
      <c r="A9" s="154" t="s">
        <v>26</v>
      </c>
      <c r="B9" s="145" t="s">
        <v>9</v>
      </c>
      <c r="C9" s="146">
        <v>48154810</v>
      </c>
      <c r="D9" s="146">
        <f t="shared" ref="D9:D19" si="2">E9+G9</f>
        <v>176844</v>
      </c>
      <c r="E9" s="146">
        <v>589880</v>
      </c>
      <c r="F9" s="410" t="s">
        <v>411</v>
      </c>
      <c r="G9" s="146">
        <v>-413036</v>
      </c>
      <c r="H9" s="148" t="s">
        <v>430</v>
      </c>
      <c r="I9" s="146">
        <v>48331654</v>
      </c>
      <c r="J9" s="146">
        <v>36565569.72000052</v>
      </c>
      <c r="K9" s="146">
        <v>47815323</v>
      </c>
      <c r="L9" s="146">
        <f t="shared" si="1"/>
        <v>516331</v>
      </c>
      <c r="M9" s="149">
        <f>I9-C9-D9</f>
        <v>0</v>
      </c>
      <c r="N9" s="63"/>
      <c r="O9" s="63"/>
      <c r="P9" s="63"/>
    </row>
    <row r="10" spans="1:16" s="64" customFormat="1" ht="18" customHeight="1">
      <c r="A10" s="154" t="s">
        <v>27</v>
      </c>
      <c r="B10" s="145" t="s">
        <v>189</v>
      </c>
      <c r="C10" s="146">
        <v>54852504</v>
      </c>
      <c r="D10" s="146">
        <f t="shared" si="2"/>
        <v>16456124</v>
      </c>
      <c r="E10" s="146">
        <v>16391219</v>
      </c>
      <c r="F10" s="410" t="s">
        <v>408</v>
      </c>
      <c r="G10" s="146">
        <v>64905</v>
      </c>
      <c r="H10" s="147" t="s">
        <v>215</v>
      </c>
      <c r="I10" s="146">
        <v>71308628</v>
      </c>
      <c r="J10" s="146">
        <v>57193252.760000013</v>
      </c>
      <c r="K10" s="146">
        <v>74150389</v>
      </c>
      <c r="L10" s="146">
        <f t="shared" si="1"/>
        <v>-2841761</v>
      </c>
      <c r="M10" s="149">
        <f t="shared" si="0"/>
        <v>0</v>
      </c>
      <c r="N10" s="63"/>
      <c r="O10" s="63"/>
      <c r="P10" s="63"/>
    </row>
    <row r="11" spans="1:16" s="64" customFormat="1" ht="18" customHeight="1">
      <c r="A11" s="154" t="s">
        <v>28</v>
      </c>
      <c r="B11" s="145" t="s">
        <v>190</v>
      </c>
      <c r="C11" s="146">
        <v>10065312</v>
      </c>
      <c r="D11" s="146">
        <f t="shared" si="2"/>
        <v>2900000</v>
      </c>
      <c r="E11" s="146">
        <v>0</v>
      </c>
      <c r="F11" s="410"/>
      <c r="G11" s="146">
        <v>2900000</v>
      </c>
      <c r="H11" s="147" t="s">
        <v>185</v>
      </c>
      <c r="I11" s="146">
        <v>12965312</v>
      </c>
      <c r="J11" s="146">
        <v>8104102.2000000002</v>
      </c>
      <c r="K11" s="146">
        <v>12965312</v>
      </c>
      <c r="L11" s="146">
        <f t="shared" si="1"/>
        <v>0</v>
      </c>
      <c r="M11" s="149">
        <f t="shared" si="0"/>
        <v>0</v>
      </c>
      <c r="N11" s="63"/>
      <c r="O11" s="63"/>
      <c r="P11" s="63"/>
    </row>
    <row r="12" spans="1:16" s="64" customFormat="1" ht="18" customHeight="1">
      <c r="A12" s="154" t="s">
        <v>29</v>
      </c>
      <c r="B12" s="145" t="s">
        <v>191</v>
      </c>
      <c r="C12" s="146">
        <v>3488221</v>
      </c>
      <c r="D12" s="146">
        <f t="shared" si="2"/>
        <v>1000000</v>
      </c>
      <c r="E12" s="146">
        <v>0</v>
      </c>
      <c r="F12" s="410"/>
      <c r="G12" s="146">
        <v>1000000</v>
      </c>
      <c r="H12" s="147" t="s">
        <v>185</v>
      </c>
      <c r="I12" s="146">
        <v>4488221</v>
      </c>
      <c r="J12" s="146">
        <v>2962567.65</v>
      </c>
      <c r="K12" s="146">
        <v>4488221</v>
      </c>
      <c r="L12" s="146">
        <f t="shared" si="1"/>
        <v>0</v>
      </c>
      <c r="M12" s="149">
        <f t="shared" si="0"/>
        <v>0</v>
      </c>
      <c r="N12" s="63"/>
      <c r="O12" s="63"/>
      <c r="P12" s="63"/>
    </row>
    <row r="13" spans="1:16" s="64" customFormat="1" ht="18" customHeight="1">
      <c r="A13" s="154" t="s">
        <v>114</v>
      </c>
      <c r="B13" s="145" t="s">
        <v>11</v>
      </c>
      <c r="C13" s="146">
        <v>9743396</v>
      </c>
      <c r="D13" s="146">
        <f t="shared" si="2"/>
        <v>624265</v>
      </c>
      <c r="E13" s="146">
        <v>624265</v>
      </c>
      <c r="F13" s="410" t="s">
        <v>216</v>
      </c>
      <c r="G13" s="146">
        <v>0</v>
      </c>
      <c r="H13" s="147"/>
      <c r="I13" s="146">
        <v>10367661</v>
      </c>
      <c r="J13" s="146">
        <v>5200712.2199999951</v>
      </c>
      <c r="K13" s="146">
        <v>8616428</v>
      </c>
      <c r="L13" s="146">
        <f t="shared" si="1"/>
        <v>1751233</v>
      </c>
      <c r="M13" s="149">
        <f t="shared" si="0"/>
        <v>0</v>
      </c>
      <c r="N13" s="63"/>
      <c r="O13" s="63"/>
      <c r="P13" s="63"/>
    </row>
    <row r="14" spans="1:16" s="64" customFormat="1" ht="18" customHeight="1">
      <c r="A14" s="154" t="s">
        <v>115</v>
      </c>
      <c r="B14" s="145" t="s">
        <v>192</v>
      </c>
      <c r="C14" s="146">
        <v>8616280</v>
      </c>
      <c r="D14" s="146">
        <f t="shared" si="2"/>
        <v>5798449</v>
      </c>
      <c r="E14" s="146">
        <v>298449</v>
      </c>
      <c r="F14" s="410" t="s">
        <v>402</v>
      </c>
      <c r="G14" s="146">
        <v>5500000</v>
      </c>
      <c r="H14" s="147" t="s">
        <v>185</v>
      </c>
      <c r="I14" s="146">
        <v>14414729</v>
      </c>
      <c r="J14" s="146">
        <v>10758633.140000002</v>
      </c>
      <c r="K14" s="146">
        <v>14255217</v>
      </c>
      <c r="L14" s="146">
        <f t="shared" si="1"/>
        <v>159512</v>
      </c>
      <c r="M14" s="149">
        <f t="shared" si="0"/>
        <v>0</v>
      </c>
      <c r="N14" s="63"/>
      <c r="O14" s="63"/>
      <c r="P14" s="63"/>
    </row>
    <row r="15" spans="1:16" s="64" customFormat="1" ht="18" customHeight="1">
      <c r="A15" s="154" t="s">
        <v>116</v>
      </c>
      <c r="B15" s="145" t="s">
        <v>193</v>
      </c>
      <c r="C15" s="146">
        <v>46082699</v>
      </c>
      <c r="D15" s="146">
        <f t="shared" si="2"/>
        <v>-3726638</v>
      </c>
      <c r="E15" s="146">
        <v>-4126638</v>
      </c>
      <c r="F15" s="410" t="s">
        <v>432</v>
      </c>
      <c r="G15" s="146">
        <v>400000</v>
      </c>
      <c r="H15" s="147" t="s">
        <v>185</v>
      </c>
      <c r="I15" s="146">
        <v>42356061</v>
      </c>
      <c r="J15" s="146">
        <v>31544145.090000018</v>
      </c>
      <c r="K15" s="146">
        <v>42356061</v>
      </c>
      <c r="L15" s="146">
        <f t="shared" si="1"/>
        <v>0</v>
      </c>
      <c r="M15" s="149">
        <f t="shared" si="0"/>
        <v>0</v>
      </c>
      <c r="N15" s="63"/>
      <c r="O15" s="63"/>
      <c r="P15" s="63"/>
    </row>
    <row r="16" spans="1:16" s="64" customFormat="1" ht="18" customHeight="1">
      <c r="A16" s="154" t="s">
        <v>117</v>
      </c>
      <c r="B16" s="145" t="s">
        <v>194</v>
      </c>
      <c r="C16" s="146">
        <v>421563615</v>
      </c>
      <c r="D16" s="146">
        <f t="shared" si="2"/>
        <v>11855938</v>
      </c>
      <c r="E16" s="146">
        <v>12466034</v>
      </c>
      <c r="F16" s="410" t="s">
        <v>412</v>
      </c>
      <c r="G16" s="146">
        <v>-610096</v>
      </c>
      <c r="H16" s="147" t="s">
        <v>215</v>
      </c>
      <c r="I16" s="146">
        <v>433419553</v>
      </c>
      <c r="J16" s="146">
        <v>358473081.24000084</v>
      </c>
      <c r="K16" s="146">
        <v>442613406</v>
      </c>
      <c r="L16" s="146">
        <f t="shared" si="1"/>
        <v>-9193853</v>
      </c>
      <c r="M16" s="149">
        <f t="shared" si="0"/>
        <v>0</v>
      </c>
      <c r="N16" s="63"/>
      <c r="O16" s="63"/>
      <c r="P16" s="63"/>
    </row>
    <row r="17" spans="1:16" s="64" customFormat="1" ht="18" customHeight="1">
      <c r="A17" s="154" t="s">
        <v>118</v>
      </c>
      <c r="B17" s="145" t="s">
        <v>195</v>
      </c>
      <c r="C17" s="146">
        <v>269243512</v>
      </c>
      <c r="D17" s="146">
        <f t="shared" si="2"/>
        <v>-2222945</v>
      </c>
      <c r="E17" s="146">
        <v>-2073051</v>
      </c>
      <c r="F17" s="410" t="s">
        <v>413</v>
      </c>
      <c r="G17" s="146">
        <v>-149894</v>
      </c>
      <c r="H17" s="147" t="s">
        <v>215</v>
      </c>
      <c r="I17" s="146">
        <v>267020567</v>
      </c>
      <c r="J17" s="146">
        <v>244145576.42000011</v>
      </c>
      <c r="K17" s="146">
        <v>266853912</v>
      </c>
      <c r="L17" s="146">
        <f t="shared" si="1"/>
        <v>166655</v>
      </c>
      <c r="M17" s="149">
        <f t="shared" si="0"/>
        <v>0</v>
      </c>
      <c r="N17" s="63"/>
      <c r="O17" s="63"/>
      <c r="P17" s="63"/>
    </row>
    <row r="18" spans="1:16" s="64" customFormat="1" ht="18" customHeight="1">
      <c r="A18" s="154" t="s">
        <v>119</v>
      </c>
      <c r="B18" s="145" t="s">
        <v>196</v>
      </c>
      <c r="C18" s="146">
        <v>12371835</v>
      </c>
      <c r="D18" s="146">
        <f t="shared" si="2"/>
        <v>230000</v>
      </c>
      <c r="E18" s="146">
        <v>0</v>
      </c>
      <c r="F18" s="410" t="s">
        <v>185</v>
      </c>
      <c r="G18" s="146">
        <v>230000</v>
      </c>
      <c r="H18" s="147" t="s">
        <v>185</v>
      </c>
      <c r="I18" s="146">
        <v>12601835</v>
      </c>
      <c r="J18" s="146">
        <v>10690974.670000002</v>
      </c>
      <c r="K18" s="146">
        <v>11971026</v>
      </c>
      <c r="L18" s="146">
        <f t="shared" si="1"/>
        <v>630809</v>
      </c>
      <c r="M18" s="149">
        <f t="shared" si="0"/>
        <v>0</v>
      </c>
      <c r="N18" s="63"/>
      <c r="O18" s="63"/>
      <c r="P18" s="63"/>
    </row>
    <row r="19" spans="1:16" s="64" customFormat="1" ht="18" customHeight="1">
      <c r="A19" s="154" t="s">
        <v>120</v>
      </c>
      <c r="B19" s="155" t="s">
        <v>218</v>
      </c>
      <c r="C19" s="146">
        <v>0</v>
      </c>
      <c r="D19" s="146">
        <f t="shared" si="2"/>
        <v>0</v>
      </c>
      <c r="E19" s="146">
        <v>0</v>
      </c>
      <c r="F19" s="410"/>
      <c r="G19" s="146">
        <v>0</v>
      </c>
      <c r="H19" s="147"/>
      <c r="I19" s="146">
        <v>0</v>
      </c>
      <c r="J19" s="146">
        <v>0</v>
      </c>
      <c r="K19" s="146">
        <v>0</v>
      </c>
      <c r="L19" s="146">
        <f t="shared" si="1"/>
        <v>0</v>
      </c>
      <c r="M19" s="149">
        <f t="shared" si="0"/>
        <v>0</v>
      </c>
      <c r="N19" s="63"/>
      <c r="O19" s="63"/>
      <c r="P19" s="63"/>
    </row>
    <row r="20" spans="1:16" s="74" customFormat="1" ht="7.5" customHeight="1">
      <c r="A20" s="154"/>
      <c r="B20" s="155"/>
      <c r="C20" s="146"/>
      <c r="D20" s="146"/>
      <c r="E20" s="146"/>
      <c r="F20" s="410"/>
      <c r="G20" s="147"/>
      <c r="H20" s="147"/>
      <c r="I20" s="146"/>
      <c r="J20" s="146"/>
      <c r="K20" s="146"/>
      <c r="L20" s="146"/>
      <c r="M20" s="149">
        <f t="shared" si="0"/>
        <v>0</v>
      </c>
      <c r="N20" s="72"/>
      <c r="O20" s="72"/>
      <c r="P20" s="72"/>
    </row>
    <row r="21" spans="1:16" s="73" customFormat="1" ht="18" customHeight="1">
      <c r="A21" s="150" t="s">
        <v>346</v>
      </c>
      <c r="B21" s="151"/>
      <c r="C21" s="152">
        <f>SUM(C8:C19)</f>
        <v>1432947981</v>
      </c>
      <c r="D21" s="152">
        <f>SUM(D8:D19)</f>
        <v>168313564</v>
      </c>
      <c r="E21" s="152">
        <v>156376946</v>
      </c>
      <c r="F21" s="411"/>
      <c r="G21" s="153">
        <f>SUM(G8:G20)</f>
        <v>11936618</v>
      </c>
      <c r="H21" s="153"/>
      <c r="I21" s="152">
        <f>SUM(I8:I19)</f>
        <v>1601261545</v>
      </c>
      <c r="J21" s="152">
        <f>SUM(J8:J19)</f>
        <v>1345359586.9099815</v>
      </c>
      <c r="K21" s="152">
        <f>SUM(K8:K19)</f>
        <v>1604799189</v>
      </c>
      <c r="L21" s="152">
        <f>SUM(L8:L19)</f>
        <v>-3537644</v>
      </c>
      <c r="M21" s="149">
        <f t="shared" si="0"/>
        <v>0</v>
      </c>
      <c r="O21" s="63"/>
      <c r="P21" s="63"/>
    </row>
    <row r="22" spans="1:16" s="64" customFormat="1" ht="18" customHeight="1">
      <c r="A22" s="154" t="s">
        <v>30</v>
      </c>
      <c r="B22" s="145" t="s">
        <v>14</v>
      </c>
      <c r="C22" s="146">
        <v>21001890</v>
      </c>
      <c r="D22" s="146">
        <f t="shared" ref="D22:D27" si="3">E22+G22</f>
        <v>-495000</v>
      </c>
      <c r="E22" s="146">
        <v>0</v>
      </c>
      <c r="F22" s="410"/>
      <c r="G22" s="146">
        <v>-495000</v>
      </c>
      <c r="H22" s="147" t="s">
        <v>185</v>
      </c>
      <c r="I22" s="146">
        <v>20506890</v>
      </c>
      <c r="J22" s="146">
        <v>16869978.959999997</v>
      </c>
      <c r="K22" s="146">
        <v>21003462</v>
      </c>
      <c r="L22" s="146">
        <f t="shared" ref="L22:L27" si="4">I22-K22</f>
        <v>-496572</v>
      </c>
      <c r="M22" s="149">
        <f t="shared" si="0"/>
        <v>0</v>
      </c>
      <c r="N22" s="63"/>
      <c r="O22" s="63"/>
      <c r="P22" s="63"/>
    </row>
    <row r="23" spans="1:16" s="64" customFormat="1" ht="18" customHeight="1">
      <c r="A23" s="154" t="s">
        <v>121</v>
      </c>
      <c r="B23" s="145" t="s">
        <v>15</v>
      </c>
      <c r="C23" s="146">
        <v>8422558</v>
      </c>
      <c r="D23" s="146">
        <f t="shared" si="3"/>
        <v>-295000</v>
      </c>
      <c r="E23" s="146">
        <v>0</v>
      </c>
      <c r="F23" s="410"/>
      <c r="G23" s="146">
        <v>-295000</v>
      </c>
      <c r="H23" s="147" t="s">
        <v>185</v>
      </c>
      <c r="I23" s="146">
        <v>8127558</v>
      </c>
      <c r="J23" s="146">
        <v>4526782.3000000007</v>
      </c>
      <c r="K23" s="146">
        <v>8424641</v>
      </c>
      <c r="L23" s="146">
        <f t="shared" si="4"/>
        <v>-297083</v>
      </c>
      <c r="M23" s="149">
        <f t="shared" si="0"/>
        <v>0</v>
      </c>
      <c r="N23" s="63"/>
      <c r="O23" s="63"/>
      <c r="P23" s="63"/>
    </row>
    <row r="24" spans="1:16" s="64" customFormat="1" ht="18" customHeight="1">
      <c r="A24" s="154" t="s">
        <v>122</v>
      </c>
      <c r="B24" s="145" t="s">
        <v>16</v>
      </c>
      <c r="C24" s="146">
        <v>2610245</v>
      </c>
      <c r="D24" s="146">
        <f t="shared" si="3"/>
        <v>0</v>
      </c>
      <c r="E24" s="146">
        <v>0</v>
      </c>
      <c r="F24" s="410"/>
      <c r="G24" s="146">
        <v>0</v>
      </c>
      <c r="H24" s="147"/>
      <c r="I24" s="146">
        <v>2610245</v>
      </c>
      <c r="J24" s="146">
        <v>1767163.58</v>
      </c>
      <c r="K24" s="146">
        <v>2610245</v>
      </c>
      <c r="L24" s="146">
        <f t="shared" si="4"/>
        <v>0</v>
      </c>
      <c r="M24" s="149">
        <f t="shared" si="0"/>
        <v>0</v>
      </c>
      <c r="N24" s="63"/>
      <c r="O24" s="63"/>
      <c r="P24" s="63"/>
    </row>
    <row r="25" spans="1:16" s="64" customFormat="1" ht="18" customHeight="1">
      <c r="A25" s="154" t="s">
        <v>104</v>
      </c>
      <c r="B25" s="145" t="s">
        <v>17</v>
      </c>
      <c r="C25" s="146">
        <v>3155510</v>
      </c>
      <c r="D25" s="146">
        <f t="shared" si="3"/>
        <v>1091429</v>
      </c>
      <c r="E25" s="146">
        <v>1091429</v>
      </c>
      <c r="F25" s="410" t="s">
        <v>377</v>
      </c>
      <c r="G25" s="146">
        <v>0</v>
      </c>
      <c r="H25" s="147"/>
      <c r="I25" s="146">
        <v>4246939</v>
      </c>
      <c r="J25" s="146">
        <v>3495909.0200000019</v>
      </c>
      <c r="K25" s="146">
        <v>4246939</v>
      </c>
      <c r="L25" s="146">
        <f t="shared" si="4"/>
        <v>0</v>
      </c>
      <c r="M25" s="149">
        <f t="shared" si="0"/>
        <v>0</v>
      </c>
      <c r="N25" s="63"/>
      <c r="O25" s="63"/>
      <c r="P25" s="63"/>
    </row>
    <row r="26" spans="1:16" s="64" customFormat="1" ht="18" customHeight="1">
      <c r="A26" s="154" t="s">
        <v>105</v>
      </c>
      <c r="B26" s="145" t="s">
        <v>158</v>
      </c>
      <c r="C26" s="146">
        <v>26075221</v>
      </c>
      <c r="D26" s="146">
        <f t="shared" si="3"/>
        <v>31609782</v>
      </c>
      <c r="E26" s="146">
        <v>31609782</v>
      </c>
      <c r="F26" s="410" t="s">
        <v>400</v>
      </c>
      <c r="G26" s="146">
        <v>0</v>
      </c>
      <c r="H26" s="147"/>
      <c r="I26" s="146">
        <v>57685003</v>
      </c>
      <c r="J26" s="146">
        <v>37365320.349999994</v>
      </c>
      <c r="K26" s="146">
        <v>57083944</v>
      </c>
      <c r="L26" s="146">
        <f t="shared" si="4"/>
        <v>601059</v>
      </c>
      <c r="M26" s="149">
        <f t="shared" si="0"/>
        <v>0</v>
      </c>
      <c r="N26" s="63"/>
      <c r="O26" s="63"/>
      <c r="P26" s="63"/>
    </row>
    <row r="27" spans="1:16" s="64" customFormat="1" ht="18" customHeight="1">
      <c r="A27" s="154" t="s">
        <v>123</v>
      </c>
      <c r="B27" s="145" t="s">
        <v>159</v>
      </c>
      <c r="C27" s="146">
        <v>1887363</v>
      </c>
      <c r="D27" s="146">
        <f t="shared" si="3"/>
        <v>5516698</v>
      </c>
      <c r="E27" s="146">
        <v>5866698</v>
      </c>
      <c r="F27" s="410" t="s">
        <v>377</v>
      </c>
      <c r="G27" s="146">
        <v>-350000</v>
      </c>
      <c r="H27" s="147" t="s">
        <v>185</v>
      </c>
      <c r="I27" s="146">
        <v>7404061</v>
      </c>
      <c r="J27" s="146">
        <v>3272126.9699999923</v>
      </c>
      <c r="K27" s="146">
        <v>6254061</v>
      </c>
      <c r="L27" s="146">
        <f t="shared" si="4"/>
        <v>1150000</v>
      </c>
      <c r="M27" s="149">
        <f t="shared" si="0"/>
        <v>0</v>
      </c>
      <c r="N27" s="63"/>
      <c r="O27" s="63"/>
      <c r="P27" s="63"/>
    </row>
    <row r="28" spans="1:16" s="74" customFormat="1" ht="7.5" customHeight="1">
      <c r="A28" s="154"/>
      <c r="B28" s="145"/>
      <c r="C28" s="146"/>
      <c r="D28" s="146"/>
      <c r="E28" s="146"/>
      <c r="F28" s="410"/>
      <c r="G28" s="147"/>
      <c r="H28" s="147"/>
      <c r="I28" s="146"/>
      <c r="J28" s="146"/>
      <c r="K28" s="146"/>
      <c r="L28" s="146"/>
      <c r="M28" s="149">
        <f t="shared" si="0"/>
        <v>0</v>
      </c>
      <c r="N28" s="72"/>
      <c r="O28" s="72"/>
      <c r="P28" s="72"/>
    </row>
    <row r="29" spans="1:16" s="73" customFormat="1" ht="18" customHeight="1">
      <c r="A29" s="150" t="s">
        <v>347</v>
      </c>
      <c r="B29" s="151"/>
      <c r="C29" s="152">
        <f>SUM(C22:C27)</f>
        <v>63152787</v>
      </c>
      <c r="D29" s="152">
        <f>SUM(D22:D27)</f>
        <v>37427909</v>
      </c>
      <c r="E29" s="152">
        <v>38567909</v>
      </c>
      <c r="F29" s="411"/>
      <c r="G29" s="153">
        <f>SUM(G22:G28)</f>
        <v>-1140000</v>
      </c>
      <c r="H29" s="153"/>
      <c r="I29" s="152">
        <f>SUM(I22:I27)</f>
        <v>100580696</v>
      </c>
      <c r="J29" s="152">
        <f>SUM(J22:J27)</f>
        <v>67297281.179999992</v>
      </c>
      <c r="K29" s="152">
        <f>SUM(K22:K27)</f>
        <v>99623292</v>
      </c>
      <c r="L29" s="152">
        <f>SUM(L22:L27)</f>
        <v>957404</v>
      </c>
      <c r="M29" s="149">
        <f t="shared" si="0"/>
        <v>0</v>
      </c>
      <c r="O29" s="63"/>
      <c r="P29" s="63"/>
    </row>
    <row r="30" spans="1:16" s="64" customFormat="1" ht="18" customHeight="1">
      <c r="A30" s="154" t="s">
        <v>106</v>
      </c>
      <c r="B30" s="145" t="s">
        <v>197</v>
      </c>
      <c r="C30" s="146">
        <v>57609430</v>
      </c>
      <c r="D30" s="146">
        <f t="shared" ref="D30:D32" si="5">E30+G30</f>
        <v>1366433</v>
      </c>
      <c r="E30" s="146">
        <v>1388685</v>
      </c>
      <c r="F30" s="410" t="s">
        <v>382</v>
      </c>
      <c r="G30" s="146">
        <v>-22252</v>
      </c>
      <c r="H30" s="147" t="s">
        <v>215</v>
      </c>
      <c r="I30" s="146">
        <v>58975863</v>
      </c>
      <c r="J30" s="146">
        <v>50045173.369999975</v>
      </c>
      <c r="K30" s="146">
        <v>58475863</v>
      </c>
      <c r="L30" s="146">
        <f>I30-K30</f>
        <v>500000</v>
      </c>
      <c r="M30" s="149">
        <f t="shared" si="0"/>
        <v>0</v>
      </c>
      <c r="N30" s="63"/>
      <c r="O30" s="63"/>
      <c r="P30" s="63"/>
    </row>
    <row r="31" spans="1:16" s="64" customFormat="1" ht="18" customHeight="1">
      <c r="A31" s="154" t="s">
        <v>107</v>
      </c>
      <c r="B31" s="145" t="s">
        <v>124</v>
      </c>
      <c r="C31" s="146">
        <v>6238964</v>
      </c>
      <c r="D31" s="146">
        <f t="shared" si="5"/>
        <v>-634484</v>
      </c>
      <c r="E31" s="146">
        <v>37817</v>
      </c>
      <c r="F31" s="410" t="s">
        <v>376</v>
      </c>
      <c r="G31" s="146">
        <v>-672301</v>
      </c>
      <c r="H31" s="147" t="s">
        <v>431</v>
      </c>
      <c r="I31" s="146">
        <v>5604480</v>
      </c>
      <c r="J31" s="146">
        <v>4756686.9300000062</v>
      </c>
      <c r="K31" s="146">
        <v>5534829</v>
      </c>
      <c r="L31" s="146">
        <f>I31-K31</f>
        <v>69651</v>
      </c>
      <c r="M31" s="149">
        <f t="shared" si="0"/>
        <v>0</v>
      </c>
      <c r="N31" s="63"/>
      <c r="O31" s="63"/>
      <c r="P31" s="63"/>
    </row>
    <row r="32" spans="1:16" s="64" customFormat="1" ht="18" customHeight="1">
      <c r="A32" s="154" t="s">
        <v>108</v>
      </c>
      <c r="B32" s="145" t="s">
        <v>198</v>
      </c>
      <c r="C32" s="146">
        <v>9399818</v>
      </c>
      <c r="D32" s="146">
        <f t="shared" si="5"/>
        <v>-300000</v>
      </c>
      <c r="E32" s="146">
        <v>0</v>
      </c>
      <c r="F32" s="410" t="s">
        <v>185</v>
      </c>
      <c r="G32" s="146">
        <v>-300000</v>
      </c>
      <c r="H32" s="147" t="s">
        <v>185</v>
      </c>
      <c r="I32" s="146">
        <v>9099818</v>
      </c>
      <c r="J32" s="146">
        <v>5770737.6299999971</v>
      </c>
      <c r="K32" s="146">
        <v>9044055</v>
      </c>
      <c r="L32" s="146">
        <f>I32-K32</f>
        <v>55763</v>
      </c>
      <c r="M32" s="149">
        <f t="shared" si="0"/>
        <v>0</v>
      </c>
      <c r="N32" s="63"/>
      <c r="O32" s="63"/>
      <c r="P32" s="63"/>
    </row>
    <row r="33" spans="1:16" s="74" customFormat="1" ht="7.5" customHeight="1">
      <c r="A33" s="154"/>
      <c r="B33" s="145"/>
      <c r="C33" s="146"/>
      <c r="D33" s="146"/>
      <c r="E33" s="146"/>
      <c r="F33" s="410"/>
      <c r="G33" s="147"/>
      <c r="H33" s="147"/>
      <c r="I33" s="146"/>
      <c r="J33" s="146"/>
      <c r="K33" s="146"/>
      <c r="L33" s="146"/>
      <c r="M33" s="149">
        <f t="shared" si="0"/>
        <v>0</v>
      </c>
      <c r="N33" s="72"/>
      <c r="O33" s="72"/>
      <c r="P33" s="72"/>
    </row>
    <row r="34" spans="1:16" s="64" customFormat="1" ht="18" customHeight="1">
      <c r="A34" s="156" t="s">
        <v>348</v>
      </c>
      <c r="B34" s="151"/>
      <c r="C34" s="152">
        <f>SUM(C30:C32)</f>
        <v>73248212</v>
      </c>
      <c r="D34" s="152">
        <f>SUM(D30:D32)</f>
        <v>431949</v>
      </c>
      <c r="E34" s="152">
        <v>1426502</v>
      </c>
      <c r="F34" s="411"/>
      <c r="G34" s="153">
        <f>SUM(G30:G32)</f>
        <v>-994553</v>
      </c>
      <c r="H34" s="153"/>
      <c r="I34" s="152">
        <f>SUM(I30:I32)</f>
        <v>73680161</v>
      </c>
      <c r="J34" s="152">
        <f>SUM(J30:J32)</f>
        <v>60572597.929999977</v>
      </c>
      <c r="K34" s="152">
        <f>SUM(K30:K32)</f>
        <v>73054747</v>
      </c>
      <c r="L34" s="152">
        <f>SUM(L30:L32)</f>
        <v>625414</v>
      </c>
      <c r="M34" s="149">
        <f t="shared" si="0"/>
        <v>0</v>
      </c>
      <c r="O34" s="63"/>
      <c r="P34" s="63"/>
    </row>
    <row r="35" spans="1:16" s="64" customFormat="1" ht="18" customHeight="1">
      <c r="A35" s="154" t="s">
        <v>109</v>
      </c>
      <c r="B35" s="157" t="s">
        <v>19</v>
      </c>
      <c r="C35" s="146">
        <v>45143834</v>
      </c>
      <c r="D35" s="146">
        <f t="shared" ref="D35" si="6">E35+G35</f>
        <v>-605926</v>
      </c>
      <c r="E35" s="146">
        <v>2224074</v>
      </c>
      <c r="F35" s="410" t="s">
        <v>378</v>
      </c>
      <c r="G35" s="146">
        <v>-2830000</v>
      </c>
      <c r="H35" s="147" t="s">
        <v>185</v>
      </c>
      <c r="I35" s="146">
        <v>44537908</v>
      </c>
      <c r="J35" s="146">
        <v>38098519.58000005</v>
      </c>
      <c r="K35" s="146">
        <v>44237584</v>
      </c>
      <c r="L35" s="146">
        <f>I35-K35</f>
        <v>300324</v>
      </c>
      <c r="M35" s="149">
        <f t="shared" si="0"/>
        <v>0</v>
      </c>
      <c r="N35" s="63"/>
      <c r="O35" s="63"/>
      <c r="P35" s="63"/>
    </row>
    <row r="36" spans="1:16" s="74" customFormat="1" ht="7.5" customHeight="1">
      <c r="A36" s="154"/>
      <c r="B36" s="157"/>
      <c r="C36" s="146"/>
      <c r="D36" s="146"/>
      <c r="E36" s="146"/>
      <c r="F36" s="410"/>
      <c r="G36" s="147"/>
      <c r="H36" s="147"/>
      <c r="I36" s="146"/>
      <c r="J36" s="146"/>
      <c r="K36" s="146"/>
      <c r="L36" s="146"/>
      <c r="M36" s="149">
        <f t="shared" si="0"/>
        <v>0</v>
      </c>
      <c r="N36" s="72"/>
      <c r="O36" s="72"/>
      <c r="P36" s="72"/>
    </row>
    <row r="37" spans="1:16" s="73" customFormat="1" ht="18" customHeight="1">
      <c r="A37" s="150" t="s">
        <v>349</v>
      </c>
      <c r="B37" s="151"/>
      <c r="C37" s="152">
        <f>C35</f>
        <v>45143834</v>
      </c>
      <c r="D37" s="152">
        <f>D35</f>
        <v>-605926</v>
      </c>
      <c r="E37" s="152">
        <v>2224074</v>
      </c>
      <c r="F37" s="411"/>
      <c r="G37" s="153"/>
      <c r="H37" s="153"/>
      <c r="I37" s="152">
        <f>I35</f>
        <v>44537908</v>
      </c>
      <c r="J37" s="152">
        <f>J35</f>
        <v>38098519.58000005</v>
      </c>
      <c r="K37" s="152">
        <f>K35</f>
        <v>44237584</v>
      </c>
      <c r="L37" s="152">
        <f>L35</f>
        <v>300324</v>
      </c>
      <c r="M37" s="149">
        <f t="shared" ref="M37:M56" si="7">I37-C37-D37</f>
        <v>0</v>
      </c>
      <c r="O37" s="63"/>
      <c r="P37" s="63"/>
    </row>
    <row r="38" spans="1:16" s="64" customFormat="1" ht="18" customHeight="1">
      <c r="A38" s="154" t="s">
        <v>110</v>
      </c>
      <c r="B38" s="157" t="s">
        <v>20</v>
      </c>
      <c r="C38" s="146">
        <v>18516156</v>
      </c>
      <c r="D38" s="146">
        <f t="shared" ref="D38:D41" si="8">E38+G38</f>
        <v>-640733</v>
      </c>
      <c r="E38" s="146">
        <v>1162407</v>
      </c>
      <c r="F38" s="410" t="s">
        <v>382</v>
      </c>
      <c r="G38" s="146">
        <v>-1803140</v>
      </c>
      <c r="H38" s="147" t="s">
        <v>431</v>
      </c>
      <c r="I38" s="146">
        <v>17875423</v>
      </c>
      <c r="J38" s="146">
        <v>15873488.289999798</v>
      </c>
      <c r="K38" s="146">
        <v>17585423</v>
      </c>
      <c r="L38" s="146">
        <f>I38-K38</f>
        <v>290000</v>
      </c>
      <c r="M38" s="149">
        <f t="shared" si="7"/>
        <v>0</v>
      </c>
      <c r="N38" s="63"/>
      <c r="O38" s="63"/>
      <c r="P38" s="63"/>
    </row>
    <row r="39" spans="1:16" s="64" customFormat="1" ht="18" customHeight="1">
      <c r="A39" s="154" t="s">
        <v>111</v>
      </c>
      <c r="B39" s="157" t="s">
        <v>21</v>
      </c>
      <c r="C39" s="146">
        <v>12464149</v>
      </c>
      <c r="D39" s="146">
        <f t="shared" si="8"/>
        <v>-1673796</v>
      </c>
      <c r="E39" s="146">
        <v>-1657492</v>
      </c>
      <c r="F39" s="410" t="s">
        <v>383</v>
      </c>
      <c r="G39" s="146">
        <v>-16304</v>
      </c>
      <c r="H39" s="147" t="s">
        <v>215</v>
      </c>
      <c r="I39" s="146">
        <v>10790353</v>
      </c>
      <c r="J39" s="146">
        <v>8925006.769999845</v>
      </c>
      <c r="K39" s="146">
        <v>10285086</v>
      </c>
      <c r="L39" s="146">
        <f>I39-K39</f>
        <v>505267</v>
      </c>
      <c r="M39" s="149">
        <f t="shared" si="7"/>
        <v>0</v>
      </c>
      <c r="N39" s="63"/>
      <c r="O39" s="63"/>
      <c r="P39" s="63"/>
    </row>
    <row r="40" spans="1:16" s="64" customFormat="1" ht="18" customHeight="1">
      <c r="A40" s="154" t="s">
        <v>112</v>
      </c>
      <c r="B40" s="157" t="s">
        <v>22</v>
      </c>
      <c r="C40" s="146">
        <v>992155</v>
      </c>
      <c r="D40" s="146">
        <f t="shared" si="8"/>
        <v>-263618</v>
      </c>
      <c r="E40" s="146">
        <v>-263618</v>
      </c>
      <c r="F40" s="410" t="s">
        <v>379</v>
      </c>
      <c r="G40" s="146">
        <v>0</v>
      </c>
      <c r="H40" s="147"/>
      <c r="I40" s="146">
        <v>728537</v>
      </c>
      <c r="J40" s="146">
        <v>282201.41999999987</v>
      </c>
      <c r="K40" s="146">
        <v>327586</v>
      </c>
      <c r="L40" s="146">
        <f>I40-K40</f>
        <v>400951</v>
      </c>
      <c r="M40" s="149">
        <f t="shared" si="7"/>
        <v>0</v>
      </c>
      <c r="N40" s="63"/>
      <c r="O40" s="63"/>
      <c r="P40" s="63"/>
    </row>
    <row r="41" spans="1:16" s="64" customFormat="1" ht="18" customHeight="1">
      <c r="A41" s="154" t="s">
        <v>113</v>
      </c>
      <c r="B41" s="157" t="s">
        <v>23</v>
      </c>
      <c r="C41" s="146">
        <v>35071483</v>
      </c>
      <c r="D41" s="146">
        <f t="shared" si="8"/>
        <v>-1267184</v>
      </c>
      <c r="E41" s="146">
        <v>4587921</v>
      </c>
      <c r="F41" s="410" t="s">
        <v>414</v>
      </c>
      <c r="G41" s="146">
        <v>-5855105</v>
      </c>
      <c r="H41" s="147" t="s">
        <v>431</v>
      </c>
      <c r="I41" s="146">
        <v>33804299</v>
      </c>
      <c r="J41" s="146">
        <v>23480105.96999998</v>
      </c>
      <c r="K41" s="146">
        <v>32196216</v>
      </c>
      <c r="L41" s="146">
        <f>I41-K41</f>
        <v>1608083</v>
      </c>
      <c r="M41" s="149">
        <f t="shared" si="7"/>
        <v>0</v>
      </c>
      <c r="N41" s="63"/>
      <c r="O41" s="63"/>
      <c r="P41" s="63"/>
    </row>
    <row r="42" spans="1:16" s="74" customFormat="1" ht="7.5" customHeight="1">
      <c r="A42" s="154"/>
      <c r="B42" s="157"/>
      <c r="C42" s="146"/>
      <c r="D42" s="146"/>
      <c r="E42" s="146"/>
      <c r="F42" s="410"/>
      <c r="G42" s="147"/>
      <c r="H42" s="147"/>
      <c r="I42" s="146"/>
      <c r="J42" s="146"/>
      <c r="K42" s="146"/>
      <c r="L42" s="146"/>
      <c r="M42" s="149">
        <f t="shared" si="7"/>
        <v>0</v>
      </c>
      <c r="N42" s="72"/>
      <c r="O42" s="72"/>
      <c r="P42" s="72"/>
    </row>
    <row r="43" spans="1:16" s="73" customFormat="1" ht="18" customHeight="1">
      <c r="A43" s="150" t="s">
        <v>350</v>
      </c>
      <c r="B43" s="151"/>
      <c r="C43" s="152">
        <f>SUM(C38:C41)</f>
        <v>67043943</v>
      </c>
      <c r="D43" s="152">
        <f>SUM(D38:D41)</f>
        <v>-3845331</v>
      </c>
      <c r="E43" s="152">
        <v>3829218</v>
      </c>
      <c r="F43" s="411"/>
      <c r="G43" s="152">
        <f>SUM(G38:G41)</f>
        <v>-7674549</v>
      </c>
      <c r="H43" s="153"/>
      <c r="I43" s="152">
        <f>SUM(I38:I41)</f>
        <v>63198612</v>
      </c>
      <c r="J43" s="152">
        <f>SUM(J38:J41)</f>
        <v>48560802.449999623</v>
      </c>
      <c r="K43" s="152">
        <f>SUM(K38:K41)</f>
        <v>60394311</v>
      </c>
      <c r="L43" s="152">
        <f>SUM(L38:L41)</f>
        <v>2804301</v>
      </c>
      <c r="M43" s="149">
        <f t="shared" si="7"/>
        <v>0</v>
      </c>
      <c r="O43" s="63"/>
      <c r="P43" s="63"/>
    </row>
    <row r="44" spans="1:16" s="73" customFormat="1" ht="18" customHeight="1">
      <c r="A44" s="158" t="s">
        <v>199</v>
      </c>
      <c r="B44" s="155" t="s">
        <v>125</v>
      </c>
      <c r="C44" s="146">
        <v>37715330</v>
      </c>
      <c r="D44" s="146">
        <f t="shared" ref="D44" si="9">E44+G44</f>
        <v>39180310</v>
      </c>
      <c r="E44" s="146">
        <v>39746281</v>
      </c>
      <c r="F44" s="410" t="s">
        <v>415</v>
      </c>
      <c r="G44" s="146">
        <v>-565971</v>
      </c>
      <c r="H44" s="147" t="s">
        <v>215</v>
      </c>
      <c r="I44" s="146">
        <v>76895640</v>
      </c>
      <c r="J44" s="146">
        <v>26544774.699999973</v>
      </c>
      <c r="K44" s="146">
        <v>48519958</v>
      </c>
      <c r="L44" s="146">
        <f>I44-K44</f>
        <v>28375682</v>
      </c>
      <c r="M44" s="149">
        <f t="shared" si="7"/>
        <v>0</v>
      </c>
      <c r="O44" s="63"/>
      <c r="P44" s="63"/>
    </row>
    <row r="45" spans="1:16" s="75" customFormat="1" ht="7.5" customHeight="1">
      <c r="A45" s="158"/>
      <c r="B45" s="155"/>
      <c r="C45" s="146"/>
      <c r="D45" s="146"/>
      <c r="E45" s="146"/>
      <c r="F45" s="410"/>
      <c r="G45" s="147"/>
      <c r="H45" s="147"/>
      <c r="I45" s="146"/>
      <c r="J45" s="146"/>
      <c r="K45" s="146"/>
      <c r="L45" s="146"/>
      <c r="M45" s="149">
        <f t="shared" si="7"/>
        <v>0</v>
      </c>
      <c r="O45" s="72"/>
      <c r="P45" s="72"/>
    </row>
    <row r="46" spans="1:16" s="73" customFormat="1" ht="18" customHeight="1">
      <c r="A46" s="150" t="s">
        <v>219</v>
      </c>
      <c r="B46" s="151"/>
      <c r="C46" s="152">
        <f>SUM(C44)</f>
        <v>37715330</v>
      </c>
      <c r="D46" s="152">
        <f>D44</f>
        <v>39180310</v>
      </c>
      <c r="E46" s="152">
        <v>39746281</v>
      </c>
      <c r="F46" s="411"/>
      <c r="G46" s="153">
        <f>SUM(G44:G45)</f>
        <v>-565971</v>
      </c>
      <c r="H46" s="153"/>
      <c r="I46" s="152">
        <f>I44</f>
        <v>76895640</v>
      </c>
      <c r="J46" s="152">
        <f>J44</f>
        <v>26544774.699999973</v>
      </c>
      <c r="K46" s="152">
        <f>K44</f>
        <v>48519958</v>
      </c>
      <c r="L46" s="152">
        <f>L44</f>
        <v>28375682</v>
      </c>
      <c r="M46" s="149">
        <f t="shared" si="7"/>
        <v>0</v>
      </c>
      <c r="N46" s="63"/>
      <c r="O46" s="63"/>
      <c r="P46" s="63"/>
    </row>
    <row r="47" spans="1:16" s="75" customFormat="1" ht="7.5" customHeight="1">
      <c r="A47" s="159"/>
      <c r="B47" s="160"/>
      <c r="C47" s="161"/>
      <c r="D47" s="161"/>
      <c r="E47" s="161"/>
      <c r="F47" s="412"/>
      <c r="G47" s="162"/>
      <c r="H47" s="162"/>
      <c r="I47" s="161"/>
      <c r="J47" s="161"/>
      <c r="K47" s="161"/>
      <c r="L47" s="161"/>
      <c r="M47" s="149">
        <f t="shared" si="7"/>
        <v>0</v>
      </c>
      <c r="N47" s="72"/>
      <c r="O47" s="72"/>
      <c r="P47" s="72"/>
    </row>
    <row r="48" spans="1:16" s="73" customFormat="1" ht="18" customHeight="1" thickBot="1">
      <c r="A48" s="163" t="s">
        <v>351</v>
      </c>
      <c r="B48" s="164"/>
      <c r="C48" s="165">
        <f>SUM(C43,C37,C34,C29,C21,C7,C46)</f>
        <v>1740549443</v>
      </c>
      <c r="D48" s="165">
        <f>SUM(D43,D37,D34,D29,D21,D7+D46)</f>
        <v>241378489</v>
      </c>
      <c r="E48" s="165">
        <v>242651879</v>
      </c>
      <c r="F48" s="413"/>
      <c r="G48" s="165">
        <f>SUM(G43,G37,G34,G29,G21,G7,G46)</f>
        <v>1556610</v>
      </c>
      <c r="H48" s="166"/>
      <c r="I48" s="165">
        <f>SUM(I43,I37,I34,I29,I21,I7,I46)</f>
        <v>1981927932</v>
      </c>
      <c r="J48" s="165">
        <f>SUM(J43,J37,J34,J29,J21,J7,J46)</f>
        <v>1606229279.1399813</v>
      </c>
      <c r="K48" s="165">
        <f>SUM(K43,K37,K34,K29,K21,K7,K46)</f>
        <v>1952402451</v>
      </c>
      <c r="L48" s="165">
        <f>SUM(L43,L37,L34,L29,L21,L7,L46)</f>
        <v>29525481</v>
      </c>
      <c r="M48" s="149">
        <f t="shared" si="7"/>
        <v>0</v>
      </c>
      <c r="N48" s="63"/>
      <c r="O48" s="63"/>
      <c r="P48" s="63"/>
    </row>
    <row r="49" spans="1:17" s="76" customFormat="1" ht="18" customHeight="1" thickTop="1">
      <c r="A49" s="167"/>
      <c r="B49" s="155"/>
      <c r="C49" s="146"/>
      <c r="D49" s="146"/>
      <c r="E49" s="146"/>
      <c r="F49" s="410"/>
      <c r="G49" s="146"/>
      <c r="H49" s="146"/>
      <c r="I49" s="146"/>
      <c r="J49" s="146"/>
      <c r="K49" s="146"/>
      <c r="L49" s="146"/>
      <c r="M49" s="149">
        <f t="shared" si="7"/>
        <v>0</v>
      </c>
      <c r="O49" s="77"/>
      <c r="P49" s="77"/>
      <c r="Q49" s="77"/>
    </row>
    <row r="50" spans="1:17" s="76" customFormat="1" ht="18" customHeight="1">
      <c r="A50" s="168" t="s">
        <v>51</v>
      </c>
      <c r="B50" s="155"/>
      <c r="C50" s="146"/>
      <c r="D50" s="146"/>
      <c r="E50" s="146"/>
      <c r="F50" s="410"/>
      <c r="G50" s="146"/>
      <c r="H50" s="146"/>
      <c r="I50" s="146"/>
      <c r="J50" s="146"/>
      <c r="K50" s="146"/>
      <c r="L50" s="146"/>
      <c r="M50" s="149">
        <f t="shared" si="7"/>
        <v>0</v>
      </c>
    </row>
    <row r="51" spans="1:17" s="76" customFormat="1" ht="18" customHeight="1">
      <c r="A51" s="158"/>
      <c r="B51" s="155" t="s">
        <v>4</v>
      </c>
      <c r="C51" s="146">
        <v>926369152</v>
      </c>
      <c r="D51" s="146">
        <f>I51-C51</f>
        <v>215121906</v>
      </c>
      <c r="E51" s="146">
        <v>215121906</v>
      </c>
      <c r="F51" s="410"/>
      <c r="G51" s="146">
        <v>0</v>
      </c>
      <c r="H51" s="147"/>
      <c r="I51" s="146">
        <v>1141491058</v>
      </c>
      <c r="J51" s="146">
        <v>911787299.02993751</v>
      </c>
      <c r="K51" s="146">
        <v>1116329695</v>
      </c>
      <c r="L51" s="146">
        <f>I51-K51</f>
        <v>25161363</v>
      </c>
      <c r="M51" s="149">
        <f t="shared" si="7"/>
        <v>0</v>
      </c>
      <c r="N51" s="64"/>
      <c r="O51" s="387"/>
    </row>
    <row r="52" spans="1:17" s="76" customFormat="1" ht="18" customHeight="1">
      <c r="A52" s="158"/>
      <c r="B52" s="155" t="s">
        <v>5</v>
      </c>
      <c r="C52" s="146">
        <v>5685701</v>
      </c>
      <c r="D52" s="146">
        <f>I52-C52</f>
        <v>0</v>
      </c>
      <c r="E52" s="146">
        <v>0</v>
      </c>
      <c r="F52" s="410"/>
      <c r="G52" s="146">
        <v>0</v>
      </c>
      <c r="H52" s="147"/>
      <c r="I52" s="146">
        <v>5685701</v>
      </c>
      <c r="J52" s="146">
        <v>5685701</v>
      </c>
      <c r="K52" s="146">
        <v>5685701</v>
      </c>
      <c r="L52" s="146">
        <f>I52-K52</f>
        <v>0</v>
      </c>
      <c r="M52" s="149">
        <f t="shared" si="7"/>
        <v>0</v>
      </c>
      <c r="N52" s="64"/>
      <c r="O52" s="387"/>
    </row>
    <row r="53" spans="1:17" s="73" customFormat="1" ht="18" customHeight="1">
      <c r="A53" s="169"/>
      <c r="B53" s="170" t="s">
        <v>52</v>
      </c>
      <c r="C53" s="146">
        <f>SUM(C51:C52)</f>
        <v>932054853</v>
      </c>
      <c r="D53" s="146">
        <f>I53-C53</f>
        <v>215121906</v>
      </c>
      <c r="E53" s="146">
        <v>215121906</v>
      </c>
      <c r="F53" s="410"/>
      <c r="G53" s="146">
        <f>SUM(G51:G52)</f>
        <v>0</v>
      </c>
      <c r="H53" s="147"/>
      <c r="I53" s="146">
        <f>SUM(I51:I52)</f>
        <v>1147176759</v>
      </c>
      <c r="J53" s="146">
        <f>SUM(J51:J52)</f>
        <v>917473000.02993751</v>
      </c>
      <c r="K53" s="146">
        <f>SUM(K51:K52)</f>
        <v>1122015396</v>
      </c>
      <c r="L53" s="146">
        <f>I53-K53</f>
        <v>25161363</v>
      </c>
      <c r="M53" s="149">
        <f t="shared" si="7"/>
        <v>0</v>
      </c>
      <c r="N53" s="64"/>
      <c r="O53" s="387"/>
    </row>
    <row r="54" spans="1:17" s="76" customFormat="1" ht="18" customHeight="1">
      <c r="A54" s="158"/>
      <c r="B54" s="155" t="s">
        <v>6</v>
      </c>
      <c r="C54" s="146">
        <v>798748603</v>
      </c>
      <c r="D54" s="146">
        <f>I54-C54</f>
        <v>27427682</v>
      </c>
      <c r="E54" s="146">
        <v>28686388</v>
      </c>
      <c r="F54" s="410"/>
      <c r="G54" s="146">
        <v>-1258706</v>
      </c>
      <c r="H54" s="147"/>
      <c r="I54" s="146">
        <v>826176285</v>
      </c>
      <c r="J54" s="146">
        <v>681689068.08997023</v>
      </c>
      <c r="K54" s="146">
        <v>821961463</v>
      </c>
      <c r="L54" s="146">
        <f>I54-K54</f>
        <v>4214822</v>
      </c>
      <c r="M54" s="149">
        <f t="shared" si="7"/>
        <v>0</v>
      </c>
      <c r="N54" s="64"/>
      <c r="O54" s="387"/>
    </row>
    <row r="55" spans="1:17" s="76" customFormat="1" ht="18" customHeight="1">
      <c r="A55" s="158"/>
      <c r="B55" s="155" t="s">
        <v>36</v>
      </c>
      <c r="C55" s="146">
        <v>9745987</v>
      </c>
      <c r="D55" s="146">
        <f>I55-C55</f>
        <v>-1171099</v>
      </c>
      <c r="E55" s="146">
        <v>-1156415</v>
      </c>
      <c r="F55" s="410"/>
      <c r="G55" s="146">
        <v>-14684</v>
      </c>
      <c r="H55" s="146"/>
      <c r="I55" s="146">
        <v>8574888</v>
      </c>
      <c r="J55" s="146">
        <v>7067211.0200000117</v>
      </c>
      <c r="K55" s="146">
        <v>8425592</v>
      </c>
      <c r="L55" s="146">
        <f>I55-K55</f>
        <v>149296</v>
      </c>
      <c r="M55" s="149">
        <f t="shared" si="7"/>
        <v>0</v>
      </c>
      <c r="N55" s="64"/>
      <c r="O55" s="387"/>
    </row>
    <row r="56" spans="1:17" s="73" customFormat="1" ht="18" customHeight="1">
      <c r="A56" s="150" t="s">
        <v>37</v>
      </c>
      <c r="B56" s="171"/>
      <c r="C56" s="152">
        <f>SUM(C53:C55)</f>
        <v>1740549443</v>
      </c>
      <c r="D56" s="152">
        <f t="shared" ref="D56:L56" si="10">SUM(D53:D55)</f>
        <v>241378489</v>
      </c>
      <c r="E56" s="152">
        <v>242651879</v>
      </c>
      <c r="F56" s="411"/>
      <c r="G56" s="152">
        <f t="shared" si="10"/>
        <v>-1273390</v>
      </c>
      <c r="H56" s="152"/>
      <c r="I56" s="152">
        <f t="shared" si="10"/>
        <v>1981927932</v>
      </c>
      <c r="J56" s="152">
        <f t="shared" si="10"/>
        <v>1606229279.1399078</v>
      </c>
      <c r="K56" s="152">
        <f t="shared" si="10"/>
        <v>1952402451</v>
      </c>
      <c r="L56" s="152">
        <f t="shared" si="10"/>
        <v>29525481</v>
      </c>
      <c r="M56" s="149">
        <f t="shared" si="7"/>
        <v>0</v>
      </c>
      <c r="N56" s="64"/>
    </row>
    <row r="57" spans="1:17" s="76" customFormat="1" ht="18" customHeight="1">
      <c r="A57" s="172"/>
      <c r="B57" s="172"/>
      <c r="C57" s="173"/>
      <c r="D57" s="173"/>
      <c r="E57" s="173"/>
      <c r="F57" s="174"/>
      <c r="G57" s="174"/>
      <c r="H57" s="174"/>
      <c r="I57" s="173"/>
      <c r="J57" s="173"/>
      <c r="K57" s="173"/>
      <c r="L57" s="173"/>
      <c r="M57" s="175"/>
    </row>
    <row r="58" spans="1:17" s="71" customFormat="1" ht="18" customHeight="1">
      <c r="A58" s="178" t="s">
        <v>216</v>
      </c>
      <c r="B58" s="179" t="s">
        <v>230</v>
      </c>
      <c r="C58" s="180"/>
      <c r="D58" s="180"/>
      <c r="E58" s="180"/>
      <c r="F58" s="181"/>
      <c r="G58" s="177"/>
      <c r="H58" s="177"/>
      <c r="I58" s="176"/>
      <c r="J58" s="176"/>
      <c r="K58" s="176"/>
      <c r="L58" s="176"/>
      <c r="M58" s="66"/>
    </row>
    <row r="59" spans="1:17" s="71" customFormat="1" ht="18" customHeight="1">
      <c r="A59" s="178" t="s">
        <v>273</v>
      </c>
      <c r="B59" s="179" t="s">
        <v>276</v>
      </c>
      <c r="C59" s="180"/>
      <c r="D59" s="180"/>
      <c r="E59" s="180"/>
      <c r="F59" s="181"/>
      <c r="G59" s="177"/>
      <c r="H59" s="177"/>
      <c r="I59" s="176"/>
      <c r="J59" s="176"/>
      <c r="K59" s="176"/>
      <c r="L59" s="176"/>
      <c r="M59" s="66"/>
    </row>
    <row r="60" spans="1:17" s="71" customFormat="1" ht="18" customHeight="1">
      <c r="A60" s="178" t="s">
        <v>267</v>
      </c>
      <c r="B60" s="179" t="s">
        <v>268</v>
      </c>
      <c r="C60" s="389" t="s">
        <v>380</v>
      </c>
      <c r="D60" s="180"/>
      <c r="E60" s="180"/>
      <c r="F60" s="181"/>
      <c r="G60" s="177"/>
      <c r="H60" s="177"/>
      <c r="I60" s="176"/>
      <c r="J60" s="176"/>
      <c r="K60" s="176"/>
      <c r="L60" s="176"/>
      <c r="M60" s="66"/>
    </row>
    <row r="61" spans="1:17" s="71" customFormat="1" ht="18" customHeight="1">
      <c r="A61" s="178" t="s">
        <v>269</v>
      </c>
      <c r="B61" s="179" t="s">
        <v>270</v>
      </c>
      <c r="C61" s="180"/>
      <c r="D61" s="180"/>
      <c r="E61" s="180"/>
      <c r="F61" s="181"/>
      <c r="G61" s="177"/>
      <c r="H61" s="177"/>
      <c r="I61" s="176"/>
      <c r="J61" s="176"/>
      <c r="K61" s="176"/>
      <c r="L61" s="176"/>
      <c r="M61" s="66"/>
    </row>
    <row r="62" spans="1:17" s="71" customFormat="1" ht="18" customHeight="1">
      <c r="A62" s="178" t="s">
        <v>215</v>
      </c>
      <c r="B62" s="179" t="s">
        <v>214</v>
      </c>
      <c r="C62" s="180"/>
      <c r="D62" s="180"/>
      <c r="E62" s="180"/>
      <c r="F62" s="181"/>
      <c r="G62" s="177"/>
      <c r="H62" s="177"/>
      <c r="I62" s="176"/>
      <c r="J62" s="176"/>
      <c r="K62" s="176"/>
      <c r="L62" s="176"/>
      <c r="M62" s="66"/>
    </row>
    <row r="63" spans="1:17" s="71" customFormat="1" ht="18" customHeight="1">
      <c r="A63" s="178" t="s">
        <v>271</v>
      </c>
      <c r="B63" s="179" t="s">
        <v>272</v>
      </c>
      <c r="C63" s="180"/>
      <c r="D63" s="180"/>
      <c r="E63" s="180"/>
      <c r="F63" s="181"/>
      <c r="G63" s="177"/>
      <c r="H63" s="177"/>
      <c r="I63" s="176"/>
      <c r="J63" s="176"/>
      <c r="K63" s="176"/>
      <c r="L63" s="176"/>
      <c r="M63" s="66"/>
    </row>
    <row r="64" spans="1:17" s="71" customFormat="1" ht="18" customHeight="1">
      <c r="A64" s="178" t="s">
        <v>185</v>
      </c>
      <c r="B64" s="179" t="s">
        <v>352</v>
      </c>
      <c r="C64" s="182"/>
      <c r="D64" s="182"/>
      <c r="E64" s="182"/>
      <c r="F64" s="182"/>
      <c r="G64" s="177"/>
      <c r="H64" s="177"/>
      <c r="I64" s="176"/>
      <c r="J64" s="176"/>
      <c r="K64" s="176"/>
      <c r="L64" s="176"/>
      <c r="M64" s="66"/>
    </row>
    <row r="65" spans="1:13" s="71" customFormat="1" ht="18" customHeight="1">
      <c r="A65" s="178" t="s">
        <v>274</v>
      </c>
      <c r="B65" s="179" t="s">
        <v>275</v>
      </c>
      <c r="C65" s="182"/>
      <c r="D65" s="182"/>
      <c r="E65" s="182"/>
      <c r="F65" s="182"/>
      <c r="G65" s="177"/>
      <c r="H65" s="177"/>
      <c r="I65" s="176"/>
      <c r="J65" s="176"/>
      <c r="K65" s="176"/>
      <c r="L65" s="176"/>
      <c r="M65" s="66"/>
    </row>
    <row r="66" spans="1:13" s="71" customFormat="1" ht="18" customHeight="1">
      <c r="A66" s="178" t="s">
        <v>374</v>
      </c>
      <c r="B66" s="179" t="s">
        <v>375</v>
      </c>
      <c r="C66" s="182"/>
      <c r="D66" s="182"/>
      <c r="E66" s="182"/>
      <c r="F66" s="182"/>
      <c r="G66" s="177"/>
      <c r="H66" s="177"/>
      <c r="I66" s="176"/>
      <c r="J66" s="176"/>
      <c r="K66" s="176"/>
      <c r="L66" s="176"/>
      <c r="M66" s="66"/>
    </row>
    <row r="67" spans="1:13" s="71" customFormat="1" ht="18" customHeight="1">
      <c r="A67" s="178" t="s">
        <v>285</v>
      </c>
      <c r="B67" s="179" t="s">
        <v>287</v>
      </c>
      <c r="C67" s="182"/>
      <c r="D67" s="182"/>
      <c r="E67" s="182"/>
      <c r="F67" s="182"/>
      <c r="G67" s="177"/>
      <c r="H67" s="177"/>
      <c r="I67" s="176"/>
      <c r="J67" s="176"/>
      <c r="K67" s="176"/>
      <c r="L67" s="176"/>
      <c r="M67" s="66"/>
    </row>
    <row r="68" spans="1:13" s="71" customFormat="1" ht="18" customHeight="1">
      <c r="A68" s="178" t="s">
        <v>416</v>
      </c>
      <c r="B68" s="179" t="s">
        <v>417</v>
      </c>
      <c r="C68" s="182"/>
      <c r="D68" s="182"/>
      <c r="E68" s="182"/>
      <c r="F68" s="182"/>
      <c r="G68" s="177"/>
      <c r="H68" s="177"/>
      <c r="I68" s="176"/>
      <c r="J68" s="176"/>
      <c r="K68" s="176"/>
      <c r="L68" s="176"/>
      <c r="M68" s="66"/>
    </row>
    <row r="69" spans="1:13" s="71" customFormat="1" ht="18" customHeight="1">
      <c r="A69" s="178" t="s">
        <v>277</v>
      </c>
      <c r="B69" s="179" t="s">
        <v>278</v>
      </c>
      <c r="C69" s="180"/>
      <c r="D69" s="180"/>
      <c r="E69" s="180"/>
      <c r="F69" s="181"/>
      <c r="G69" s="177"/>
      <c r="H69" s="177"/>
      <c r="I69" s="176"/>
      <c r="J69" s="176"/>
      <c r="K69" s="176"/>
      <c r="L69" s="176"/>
      <c r="M69" s="66"/>
    </row>
    <row r="70" spans="1:13" s="71" customFormat="1" ht="18" customHeight="1">
      <c r="A70" s="178" t="s">
        <v>342</v>
      </c>
      <c r="B70" s="179" t="s">
        <v>353</v>
      </c>
      <c r="C70" s="180"/>
      <c r="D70" s="180"/>
      <c r="E70" s="180"/>
      <c r="F70" s="181"/>
      <c r="G70" s="177"/>
      <c r="H70" s="177"/>
      <c r="I70" s="176"/>
      <c r="J70" s="176"/>
      <c r="K70" s="176"/>
      <c r="L70" s="176"/>
      <c r="M70" s="66"/>
    </row>
    <row r="71" spans="1:13" s="71" customFormat="1" ht="18" customHeight="1">
      <c r="A71" s="178" t="s">
        <v>372</v>
      </c>
      <c r="B71" s="179" t="s">
        <v>373</v>
      </c>
      <c r="C71" s="176"/>
      <c r="D71" s="176"/>
      <c r="E71" s="176"/>
      <c r="F71" s="177"/>
      <c r="G71" s="177"/>
      <c r="H71" s="177"/>
      <c r="I71" s="176"/>
      <c r="J71" s="176"/>
      <c r="K71" s="176"/>
      <c r="L71" s="176"/>
      <c r="M71" s="66"/>
    </row>
    <row r="72" spans="1:13" s="71" customFormat="1" ht="18" customHeight="1">
      <c r="A72" s="178" t="s">
        <v>410</v>
      </c>
      <c r="B72" s="179" t="s">
        <v>418</v>
      </c>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sheetData>
  <mergeCells count="3">
    <mergeCell ref="A1:L1"/>
    <mergeCell ref="A2:L2"/>
    <mergeCell ref="A3:L3"/>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42"/>
  <sheetViews>
    <sheetView zoomScale="85" zoomScaleNormal="85" zoomScaleSheetLayoutView="85" workbookViewId="0">
      <selection activeCell="Q19" sqref="Q19"/>
    </sheetView>
  </sheetViews>
  <sheetFormatPr defaultRowHeight="13.2"/>
  <cols>
    <col min="1" max="1" width="63.88671875" style="462" bestFit="1" customWidth="1"/>
    <col min="2" max="2" width="11.33203125" style="445" hidden="1" customWidth="1"/>
    <col min="3" max="3" width="11.44140625" style="445" hidden="1" customWidth="1"/>
    <col min="4" max="4" width="11.77734375" style="445" hidden="1" customWidth="1"/>
    <col min="5" max="5" width="11.6640625" style="445" hidden="1" customWidth="1"/>
    <col min="6" max="6" width="11.33203125" style="445" hidden="1" customWidth="1"/>
    <col min="7" max="7" width="11.6640625" style="445" hidden="1" customWidth="1"/>
    <col min="8" max="8" width="12.109375" style="445" hidden="1" customWidth="1"/>
    <col min="9" max="9" width="11.6640625" style="445" hidden="1" customWidth="1"/>
    <col min="10" max="10" width="12.109375" style="445" hidden="1" customWidth="1"/>
    <col min="11" max="11" width="11.44140625" style="445" hidden="1" customWidth="1"/>
    <col min="12" max="12" width="12.77734375" style="445" bestFit="1" customWidth="1"/>
    <col min="13" max="13" width="11.77734375" style="445" hidden="1" customWidth="1"/>
    <col min="14" max="14" width="15.6640625" style="445" bestFit="1" customWidth="1"/>
    <col min="15" max="15" width="22.21875" style="462" customWidth="1"/>
    <col min="16" max="16" width="22.21875" style="463" customWidth="1"/>
    <col min="17" max="17" width="22.21875" style="462" customWidth="1"/>
    <col min="18" max="19" width="9.21875" style="462" customWidth="1"/>
    <col min="20" max="20" width="12.6640625" style="462" customWidth="1"/>
    <col min="21" max="21" width="10.44140625" style="462" customWidth="1"/>
    <col min="22" max="253" width="8.88671875" style="462"/>
    <col min="254" max="254" width="57.21875" style="462" bestFit="1" customWidth="1"/>
    <col min="255" max="255" width="10.6640625" style="462" bestFit="1" customWidth="1"/>
    <col min="256" max="266" width="0" style="462" hidden="1" customWidth="1"/>
    <col min="267" max="267" width="14.88671875" style="462" bestFit="1" customWidth="1"/>
    <col min="268" max="276" width="0" style="462" hidden="1" customWidth="1"/>
    <col min="277" max="277" width="10.44140625" style="462" customWidth="1"/>
    <col min="278" max="509" width="8.88671875" style="462"/>
    <col min="510" max="510" width="57.21875" style="462" bestFit="1" customWidth="1"/>
    <col min="511" max="511" width="10.6640625" style="462" bestFit="1" customWidth="1"/>
    <col min="512" max="522" width="0" style="462" hidden="1" customWidth="1"/>
    <col min="523" max="523" width="14.88671875" style="462" bestFit="1" customWidth="1"/>
    <col min="524" max="532" width="0" style="462" hidden="1" customWidth="1"/>
    <col min="533" max="533" width="10.44140625" style="462" customWidth="1"/>
    <col min="534" max="765" width="8.88671875" style="462"/>
    <col min="766" max="766" width="57.21875" style="462" bestFit="1" customWidth="1"/>
    <col min="767" max="767" width="10.6640625" style="462" bestFit="1" customWidth="1"/>
    <col min="768" max="778" width="0" style="462" hidden="1" customWidth="1"/>
    <col min="779" max="779" width="14.88671875" style="462" bestFit="1" customWidth="1"/>
    <col min="780" max="788" width="0" style="462" hidden="1" customWidth="1"/>
    <col min="789" max="789" width="10.44140625" style="462" customWidth="1"/>
    <col min="790" max="1021" width="8.88671875" style="462"/>
    <col min="1022" max="1022" width="57.21875" style="462" bestFit="1" customWidth="1"/>
    <col min="1023" max="1023" width="10.6640625" style="462" bestFit="1" customWidth="1"/>
    <col min="1024" max="1034" width="0" style="462" hidden="1" customWidth="1"/>
    <col min="1035" max="1035" width="14.88671875" style="462" bestFit="1" customWidth="1"/>
    <col min="1036" max="1044" width="0" style="462" hidden="1" customWidth="1"/>
    <col min="1045" max="1045" width="10.44140625" style="462" customWidth="1"/>
    <col min="1046" max="1277" width="8.88671875" style="462"/>
    <col min="1278" max="1278" width="57.21875" style="462" bestFit="1" customWidth="1"/>
    <col min="1279" max="1279" width="10.6640625" style="462" bestFit="1" customWidth="1"/>
    <col min="1280" max="1290" width="0" style="462" hidden="1" customWidth="1"/>
    <col min="1291" max="1291" width="14.88671875" style="462" bestFit="1" customWidth="1"/>
    <col min="1292" max="1300" width="0" style="462" hidden="1" customWidth="1"/>
    <col min="1301" max="1301" width="10.44140625" style="462" customWidth="1"/>
    <col min="1302" max="1533" width="8.88671875" style="462"/>
    <col min="1534" max="1534" width="57.21875" style="462" bestFit="1" customWidth="1"/>
    <col min="1535" max="1535" width="10.6640625" style="462" bestFit="1" customWidth="1"/>
    <col min="1536" max="1546" width="0" style="462" hidden="1" customWidth="1"/>
    <col min="1547" max="1547" width="14.88671875" style="462" bestFit="1" customWidth="1"/>
    <col min="1548" max="1556" width="0" style="462" hidden="1" customWidth="1"/>
    <col min="1557" max="1557" width="10.44140625" style="462" customWidth="1"/>
    <col min="1558" max="1789" width="8.88671875" style="462"/>
    <col min="1790" max="1790" width="57.21875" style="462" bestFit="1" customWidth="1"/>
    <col min="1791" max="1791" width="10.6640625" style="462" bestFit="1" customWidth="1"/>
    <col min="1792" max="1802" width="0" style="462" hidden="1" customWidth="1"/>
    <col min="1803" max="1803" width="14.88671875" style="462" bestFit="1" customWidth="1"/>
    <col min="1804" max="1812" width="0" style="462" hidden="1" customWidth="1"/>
    <col min="1813" max="1813" width="10.44140625" style="462" customWidth="1"/>
    <col min="1814" max="2045" width="8.88671875" style="462"/>
    <col min="2046" max="2046" width="57.21875" style="462" bestFit="1" customWidth="1"/>
    <col min="2047" max="2047" width="10.6640625" style="462" bestFit="1" customWidth="1"/>
    <col min="2048" max="2058" width="0" style="462" hidden="1" customWidth="1"/>
    <col min="2059" max="2059" width="14.88671875" style="462" bestFit="1" customWidth="1"/>
    <col min="2060" max="2068" width="0" style="462" hidden="1" customWidth="1"/>
    <col min="2069" max="2069" width="10.44140625" style="462" customWidth="1"/>
    <col min="2070" max="2301" width="8.88671875" style="462"/>
    <col min="2302" max="2302" width="57.21875" style="462" bestFit="1" customWidth="1"/>
    <col min="2303" max="2303" width="10.6640625" style="462" bestFit="1" customWidth="1"/>
    <col min="2304" max="2314" width="0" style="462" hidden="1" customWidth="1"/>
    <col min="2315" max="2315" width="14.88671875" style="462" bestFit="1" customWidth="1"/>
    <col min="2316" max="2324" width="0" style="462" hidden="1" customWidth="1"/>
    <col min="2325" max="2325" width="10.44140625" style="462" customWidth="1"/>
    <col min="2326" max="2557" width="8.88671875" style="462"/>
    <col min="2558" max="2558" width="57.21875" style="462" bestFit="1" customWidth="1"/>
    <col min="2559" max="2559" width="10.6640625" style="462" bestFit="1" customWidth="1"/>
    <col min="2560" max="2570" width="0" style="462" hidden="1" customWidth="1"/>
    <col min="2571" max="2571" width="14.88671875" style="462" bestFit="1" customWidth="1"/>
    <col min="2572" max="2580" width="0" style="462" hidden="1" customWidth="1"/>
    <col min="2581" max="2581" width="10.44140625" style="462" customWidth="1"/>
    <col min="2582" max="2813" width="8.88671875" style="462"/>
    <col min="2814" max="2814" width="57.21875" style="462" bestFit="1" customWidth="1"/>
    <col min="2815" max="2815" width="10.6640625" style="462" bestFit="1" customWidth="1"/>
    <col min="2816" max="2826" width="0" style="462" hidden="1" customWidth="1"/>
    <col min="2827" max="2827" width="14.88671875" style="462" bestFit="1" customWidth="1"/>
    <col min="2828" max="2836" width="0" style="462" hidden="1" customWidth="1"/>
    <col min="2837" max="2837" width="10.44140625" style="462" customWidth="1"/>
    <col min="2838" max="3069" width="8.88671875" style="462"/>
    <col min="3070" max="3070" width="57.21875" style="462" bestFit="1" customWidth="1"/>
    <col min="3071" max="3071" width="10.6640625" style="462" bestFit="1" customWidth="1"/>
    <col min="3072" max="3082" width="0" style="462" hidden="1" customWidth="1"/>
    <col min="3083" max="3083" width="14.88671875" style="462" bestFit="1" customWidth="1"/>
    <col min="3084" max="3092" width="0" style="462" hidden="1" customWidth="1"/>
    <col min="3093" max="3093" width="10.44140625" style="462" customWidth="1"/>
    <col min="3094" max="3325" width="8.88671875" style="462"/>
    <col min="3326" max="3326" width="57.21875" style="462" bestFit="1" customWidth="1"/>
    <col min="3327" max="3327" width="10.6640625" style="462" bestFit="1" customWidth="1"/>
    <col min="3328" max="3338" width="0" style="462" hidden="1" customWidth="1"/>
    <col min="3339" max="3339" width="14.88671875" style="462" bestFit="1" customWidth="1"/>
    <col min="3340" max="3348" width="0" style="462" hidden="1" customWidth="1"/>
    <col min="3349" max="3349" width="10.44140625" style="462" customWidth="1"/>
    <col min="3350" max="3581" width="8.88671875" style="462"/>
    <col min="3582" max="3582" width="57.21875" style="462" bestFit="1" customWidth="1"/>
    <col min="3583" max="3583" width="10.6640625" style="462" bestFit="1" customWidth="1"/>
    <col min="3584" max="3594" width="0" style="462" hidden="1" customWidth="1"/>
    <col min="3595" max="3595" width="14.88671875" style="462" bestFit="1" customWidth="1"/>
    <col min="3596" max="3604" width="0" style="462" hidden="1" customWidth="1"/>
    <col min="3605" max="3605" width="10.44140625" style="462" customWidth="1"/>
    <col min="3606" max="3837" width="8.88671875" style="462"/>
    <col min="3838" max="3838" width="57.21875" style="462" bestFit="1" customWidth="1"/>
    <col min="3839" max="3839" width="10.6640625" style="462" bestFit="1" customWidth="1"/>
    <col min="3840" max="3850" width="0" style="462" hidden="1" customWidth="1"/>
    <col min="3851" max="3851" width="14.88671875" style="462" bestFit="1" customWidth="1"/>
    <col min="3852" max="3860" width="0" style="462" hidden="1" customWidth="1"/>
    <col min="3861" max="3861" width="10.44140625" style="462" customWidth="1"/>
    <col min="3862" max="4093" width="8.88671875" style="462"/>
    <col min="4094" max="4094" width="57.21875" style="462" bestFit="1" customWidth="1"/>
    <col min="4095" max="4095" width="10.6640625" style="462" bestFit="1" customWidth="1"/>
    <col min="4096" max="4106" width="0" style="462" hidden="1" customWidth="1"/>
    <col min="4107" max="4107" width="14.88671875" style="462" bestFit="1" customWidth="1"/>
    <col min="4108" max="4116" width="0" style="462" hidden="1" customWidth="1"/>
    <col min="4117" max="4117" width="10.44140625" style="462" customWidth="1"/>
    <col min="4118" max="4349" width="8.88671875" style="462"/>
    <col min="4350" max="4350" width="57.21875" style="462" bestFit="1" customWidth="1"/>
    <col min="4351" max="4351" width="10.6640625" style="462" bestFit="1" customWidth="1"/>
    <col min="4352" max="4362" width="0" style="462" hidden="1" customWidth="1"/>
    <col min="4363" max="4363" width="14.88671875" style="462" bestFit="1" customWidth="1"/>
    <col min="4364" max="4372" width="0" style="462" hidden="1" customWidth="1"/>
    <col min="4373" max="4373" width="10.44140625" style="462" customWidth="1"/>
    <col min="4374" max="4605" width="8.88671875" style="462"/>
    <col min="4606" max="4606" width="57.21875" style="462" bestFit="1" customWidth="1"/>
    <col min="4607" max="4607" width="10.6640625" style="462" bestFit="1" customWidth="1"/>
    <col min="4608" max="4618" width="0" style="462" hidden="1" customWidth="1"/>
    <col min="4619" max="4619" width="14.88671875" style="462" bestFit="1" customWidth="1"/>
    <col min="4620" max="4628" width="0" style="462" hidden="1" customWidth="1"/>
    <col min="4629" max="4629" width="10.44140625" style="462" customWidth="1"/>
    <col min="4630" max="4861" width="8.88671875" style="462"/>
    <col min="4862" max="4862" width="57.21875" style="462" bestFit="1" customWidth="1"/>
    <col min="4863" max="4863" width="10.6640625" style="462" bestFit="1" customWidth="1"/>
    <col min="4864" max="4874" width="0" style="462" hidden="1" customWidth="1"/>
    <col min="4875" max="4875" width="14.88671875" style="462" bestFit="1" customWidth="1"/>
    <col min="4876" max="4884" width="0" style="462" hidden="1" customWidth="1"/>
    <col min="4885" max="4885" width="10.44140625" style="462" customWidth="1"/>
    <col min="4886" max="5117" width="8.88671875" style="462"/>
    <col min="5118" max="5118" width="57.21875" style="462" bestFit="1" customWidth="1"/>
    <col min="5119" max="5119" width="10.6640625" style="462" bestFit="1" customWidth="1"/>
    <col min="5120" max="5130" width="0" style="462" hidden="1" customWidth="1"/>
    <col min="5131" max="5131" width="14.88671875" style="462" bestFit="1" customWidth="1"/>
    <col min="5132" max="5140" width="0" style="462" hidden="1" customWidth="1"/>
    <col min="5141" max="5141" width="10.44140625" style="462" customWidth="1"/>
    <col min="5142" max="5373" width="8.88671875" style="462"/>
    <col min="5374" max="5374" width="57.21875" style="462" bestFit="1" customWidth="1"/>
    <col min="5375" max="5375" width="10.6640625" style="462" bestFit="1" customWidth="1"/>
    <col min="5376" max="5386" width="0" style="462" hidden="1" customWidth="1"/>
    <col min="5387" max="5387" width="14.88671875" style="462" bestFit="1" customWidth="1"/>
    <col min="5388" max="5396" width="0" style="462" hidden="1" customWidth="1"/>
    <col min="5397" max="5397" width="10.44140625" style="462" customWidth="1"/>
    <col min="5398" max="5629" width="8.88671875" style="462"/>
    <col min="5630" max="5630" width="57.21875" style="462" bestFit="1" customWidth="1"/>
    <col min="5631" max="5631" width="10.6640625" style="462" bestFit="1" customWidth="1"/>
    <col min="5632" max="5642" width="0" style="462" hidden="1" customWidth="1"/>
    <col min="5643" max="5643" width="14.88671875" style="462" bestFit="1" customWidth="1"/>
    <col min="5644" max="5652" width="0" style="462" hidden="1" customWidth="1"/>
    <col min="5653" max="5653" width="10.44140625" style="462" customWidth="1"/>
    <col min="5654" max="5885" width="8.88671875" style="462"/>
    <col min="5886" max="5886" width="57.21875" style="462" bestFit="1" customWidth="1"/>
    <col min="5887" max="5887" width="10.6640625" style="462" bestFit="1" customWidth="1"/>
    <col min="5888" max="5898" width="0" style="462" hidden="1" customWidth="1"/>
    <col min="5899" max="5899" width="14.88671875" style="462" bestFit="1" customWidth="1"/>
    <col min="5900" max="5908" width="0" style="462" hidden="1" customWidth="1"/>
    <col min="5909" max="5909" width="10.44140625" style="462" customWidth="1"/>
    <col min="5910" max="6141" width="8.88671875" style="462"/>
    <col min="6142" max="6142" width="57.21875" style="462" bestFit="1" customWidth="1"/>
    <col min="6143" max="6143" width="10.6640625" style="462" bestFit="1" customWidth="1"/>
    <col min="6144" max="6154" width="0" style="462" hidden="1" customWidth="1"/>
    <col min="6155" max="6155" width="14.88671875" style="462" bestFit="1" customWidth="1"/>
    <col min="6156" max="6164" width="0" style="462" hidden="1" customWidth="1"/>
    <col min="6165" max="6165" width="10.44140625" style="462" customWidth="1"/>
    <col min="6166" max="6397" width="8.88671875" style="462"/>
    <col min="6398" max="6398" width="57.21875" style="462" bestFit="1" customWidth="1"/>
    <col min="6399" max="6399" width="10.6640625" style="462" bestFit="1" customWidth="1"/>
    <col min="6400" max="6410" width="0" style="462" hidden="1" customWidth="1"/>
    <col min="6411" max="6411" width="14.88671875" style="462" bestFit="1" customWidth="1"/>
    <col min="6412" max="6420" width="0" style="462" hidden="1" customWidth="1"/>
    <col min="6421" max="6421" width="10.44140625" style="462" customWidth="1"/>
    <col min="6422" max="6653" width="8.88671875" style="462"/>
    <col min="6654" max="6654" width="57.21875" style="462" bestFit="1" customWidth="1"/>
    <col min="6655" max="6655" width="10.6640625" style="462" bestFit="1" customWidth="1"/>
    <col min="6656" max="6666" width="0" style="462" hidden="1" customWidth="1"/>
    <col min="6667" max="6667" width="14.88671875" style="462" bestFit="1" customWidth="1"/>
    <col min="6668" max="6676" width="0" style="462" hidden="1" customWidth="1"/>
    <col min="6677" max="6677" width="10.44140625" style="462" customWidth="1"/>
    <col min="6678" max="6909" width="8.88671875" style="462"/>
    <col min="6910" max="6910" width="57.21875" style="462" bestFit="1" customWidth="1"/>
    <col min="6911" max="6911" width="10.6640625" style="462" bestFit="1" customWidth="1"/>
    <col min="6912" max="6922" width="0" style="462" hidden="1" customWidth="1"/>
    <col min="6923" max="6923" width="14.88671875" style="462" bestFit="1" customWidth="1"/>
    <col min="6924" max="6932" width="0" style="462" hidden="1" customWidth="1"/>
    <col min="6933" max="6933" width="10.44140625" style="462" customWidth="1"/>
    <col min="6934" max="7165" width="8.88671875" style="462"/>
    <col min="7166" max="7166" width="57.21875" style="462" bestFit="1" customWidth="1"/>
    <col min="7167" max="7167" width="10.6640625" style="462" bestFit="1" customWidth="1"/>
    <col min="7168" max="7178" width="0" style="462" hidden="1" customWidth="1"/>
    <col min="7179" max="7179" width="14.88671875" style="462" bestFit="1" customWidth="1"/>
    <col min="7180" max="7188" width="0" style="462" hidden="1" customWidth="1"/>
    <col min="7189" max="7189" width="10.44140625" style="462" customWidth="1"/>
    <col min="7190" max="7421" width="8.88671875" style="462"/>
    <col min="7422" max="7422" width="57.21875" style="462" bestFit="1" customWidth="1"/>
    <col min="7423" max="7423" width="10.6640625" style="462" bestFit="1" customWidth="1"/>
    <col min="7424" max="7434" width="0" style="462" hidden="1" customWidth="1"/>
    <col min="7435" max="7435" width="14.88671875" style="462" bestFit="1" customWidth="1"/>
    <col min="7436" max="7444" width="0" style="462" hidden="1" customWidth="1"/>
    <col min="7445" max="7445" width="10.44140625" style="462" customWidth="1"/>
    <col min="7446" max="7677" width="8.88671875" style="462"/>
    <col min="7678" max="7678" width="57.21875" style="462" bestFit="1" customWidth="1"/>
    <col min="7679" max="7679" width="10.6640625" style="462" bestFit="1" customWidth="1"/>
    <col min="7680" max="7690" width="0" style="462" hidden="1" customWidth="1"/>
    <col min="7691" max="7691" width="14.88671875" style="462" bestFit="1" customWidth="1"/>
    <col min="7692" max="7700" width="0" style="462" hidden="1" customWidth="1"/>
    <col min="7701" max="7701" width="10.44140625" style="462" customWidth="1"/>
    <col min="7702" max="7933" width="8.88671875" style="462"/>
    <col min="7934" max="7934" width="57.21875" style="462" bestFit="1" customWidth="1"/>
    <col min="7935" max="7935" width="10.6640625" style="462" bestFit="1" customWidth="1"/>
    <col min="7936" max="7946" width="0" style="462" hidden="1" customWidth="1"/>
    <col min="7947" max="7947" width="14.88671875" style="462" bestFit="1" customWidth="1"/>
    <col min="7948" max="7956" width="0" style="462" hidden="1" customWidth="1"/>
    <col min="7957" max="7957" width="10.44140625" style="462" customWidth="1"/>
    <col min="7958" max="8189" width="8.88671875" style="462"/>
    <col min="8190" max="8190" width="57.21875" style="462" bestFit="1" customWidth="1"/>
    <col min="8191" max="8191" width="10.6640625" style="462" bestFit="1" customWidth="1"/>
    <col min="8192" max="8202" width="0" style="462" hidden="1" customWidth="1"/>
    <col min="8203" max="8203" width="14.88671875" style="462" bestFit="1" customWidth="1"/>
    <col min="8204" max="8212" width="0" style="462" hidden="1" customWidth="1"/>
    <col min="8213" max="8213" width="10.44140625" style="462" customWidth="1"/>
    <col min="8214" max="8445" width="8.88671875" style="462"/>
    <col min="8446" max="8446" width="57.21875" style="462" bestFit="1" customWidth="1"/>
    <col min="8447" max="8447" width="10.6640625" style="462" bestFit="1" customWidth="1"/>
    <col min="8448" max="8458" width="0" style="462" hidden="1" customWidth="1"/>
    <col min="8459" max="8459" width="14.88671875" style="462" bestFit="1" customWidth="1"/>
    <col min="8460" max="8468" width="0" style="462" hidden="1" customWidth="1"/>
    <col min="8469" max="8469" width="10.44140625" style="462" customWidth="1"/>
    <col min="8470" max="8701" width="8.88671875" style="462"/>
    <col min="8702" max="8702" width="57.21875" style="462" bestFit="1" customWidth="1"/>
    <col min="8703" max="8703" width="10.6640625" style="462" bestFit="1" customWidth="1"/>
    <col min="8704" max="8714" width="0" style="462" hidden="1" customWidth="1"/>
    <col min="8715" max="8715" width="14.88671875" style="462" bestFit="1" customWidth="1"/>
    <col min="8716" max="8724" width="0" style="462" hidden="1" customWidth="1"/>
    <col min="8725" max="8725" width="10.44140625" style="462" customWidth="1"/>
    <col min="8726" max="8957" width="8.88671875" style="462"/>
    <col min="8958" max="8958" width="57.21875" style="462" bestFit="1" customWidth="1"/>
    <col min="8959" max="8959" width="10.6640625" style="462" bestFit="1" customWidth="1"/>
    <col min="8960" max="8970" width="0" style="462" hidden="1" customWidth="1"/>
    <col min="8971" max="8971" width="14.88671875" style="462" bestFit="1" customWidth="1"/>
    <col min="8972" max="8980" width="0" style="462" hidden="1" customWidth="1"/>
    <col min="8981" max="8981" width="10.44140625" style="462" customWidth="1"/>
    <col min="8982" max="9213" width="8.88671875" style="462"/>
    <col min="9214" max="9214" width="57.21875" style="462" bestFit="1" customWidth="1"/>
    <col min="9215" max="9215" width="10.6640625" style="462" bestFit="1" customWidth="1"/>
    <col min="9216" max="9226" width="0" style="462" hidden="1" customWidth="1"/>
    <col min="9227" max="9227" width="14.88671875" style="462" bestFit="1" customWidth="1"/>
    <col min="9228" max="9236" width="0" style="462" hidden="1" customWidth="1"/>
    <col min="9237" max="9237" width="10.44140625" style="462" customWidth="1"/>
    <col min="9238" max="9469" width="8.88671875" style="462"/>
    <col min="9470" max="9470" width="57.21875" style="462" bestFit="1" customWidth="1"/>
    <col min="9471" max="9471" width="10.6640625" style="462" bestFit="1" customWidth="1"/>
    <col min="9472" max="9482" width="0" style="462" hidden="1" customWidth="1"/>
    <col min="9483" max="9483" width="14.88671875" style="462" bestFit="1" customWidth="1"/>
    <col min="9484" max="9492" width="0" style="462" hidden="1" customWidth="1"/>
    <col min="9493" max="9493" width="10.44140625" style="462" customWidth="1"/>
    <col min="9494" max="9725" width="8.88671875" style="462"/>
    <col min="9726" max="9726" width="57.21875" style="462" bestFit="1" customWidth="1"/>
    <col min="9727" max="9727" width="10.6640625" style="462" bestFit="1" customWidth="1"/>
    <col min="9728" max="9738" width="0" style="462" hidden="1" customWidth="1"/>
    <col min="9739" max="9739" width="14.88671875" style="462" bestFit="1" customWidth="1"/>
    <col min="9740" max="9748" width="0" style="462" hidden="1" customWidth="1"/>
    <col min="9749" max="9749" width="10.44140625" style="462" customWidth="1"/>
    <col min="9750" max="9981" width="8.88671875" style="462"/>
    <col min="9982" max="9982" width="57.21875" style="462" bestFit="1" customWidth="1"/>
    <col min="9983" max="9983" width="10.6640625" style="462" bestFit="1" customWidth="1"/>
    <col min="9984" max="9994" width="0" style="462" hidden="1" customWidth="1"/>
    <col min="9995" max="9995" width="14.88671875" style="462" bestFit="1" customWidth="1"/>
    <col min="9996" max="10004" width="0" style="462" hidden="1" customWidth="1"/>
    <col min="10005" max="10005" width="10.44140625" style="462" customWidth="1"/>
    <col min="10006" max="10237" width="8.88671875" style="462"/>
    <col min="10238" max="10238" width="57.21875" style="462" bestFit="1" customWidth="1"/>
    <col min="10239" max="10239" width="10.6640625" style="462" bestFit="1" customWidth="1"/>
    <col min="10240" max="10250" width="0" style="462" hidden="1" customWidth="1"/>
    <col min="10251" max="10251" width="14.88671875" style="462" bestFit="1" customWidth="1"/>
    <col min="10252" max="10260" width="0" style="462" hidden="1" customWidth="1"/>
    <col min="10261" max="10261" width="10.44140625" style="462" customWidth="1"/>
    <col min="10262" max="10493" width="8.88671875" style="462"/>
    <col min="10494" max="10494" width="57.21875" style="462" bestFit="1" customWidth="1"/>
    <col min="10495" max="10495" width="10.6640625" style="462" bestFit="1" customWidth="1"/>
    <col min="10496" max="10506" width="0" style="462" hidden="1" customWidth="1"/>
    <col min="10507" max="10507" width="14.88671875" style="462" bestFit="1" customWidth="1"/>
    <col min="10508" max="10516" width="0" style="462" hidden="1" customWidth="1"/>
    <col min="10517" max="10517" width="10.44140625" style="462" customWidth="1"/>
    <col min="10518" max="10749" width="8.88671875" style="462"/>
    <col min="10750" max="10750" width="57.21875" style="462" bestFit="1" customWidth="1"/>
    <col min="10751" max="10751" width="10.6640625" style="462" bestFit="1" customWidth="1"/>
    <col min="10752" max="10762" width="0" style="462" hidden="1" customWidth="1"/>
    <col min="10763" max="10763" width="14.88671875" style="462" bestFit="1" customWidth="1"/>
    <col min="10764" max="10772" width="0" style="462" hidden="1" customWidth="1"/>
    <col min="10773" max="10773" width="10.44140625" style="462" customWidth="1"/>
    <col min="10774" max="11005" width="8.88671875" style="462"/>
    <col min="11006" max="11006" width="57.21875" style="462" bestFit="1" customWidth="1"/>
    <col min="11007" max="11007" width="10.6640625" style="462" bestFit="1" customWidth="1"/>
    <col min="11008" max="11018" width="0" style="462" hidden="1" customWidth="1"/>
    <col min="11019" max="11019" width="14.88671875" style="462" bestFit="1" customWidth="1"/>
    <col min="11020" max="11028" width="0" style="462" hidden="1" customWidth="1"/>
    <col min="11029" max="11029" width="10.44140625" style="462" customWidth="1"/>
    <col min="11030" max="11261" width="8.88671875" style="462"/>
    <col min="11262" max="11262" width="57.21875" style="462" bestFit="1" customWidth="1"/>
    <col min="11263" max="11263" width="10.6640625" style="462" bestFit="1" customWidth="1"/>
    <col min="11264" max="11274" width="0" style="462" hidden="1" customWidth="1"/>
    <col min="11275" max="11275" width="14.88671875" style="462" bestFit="1" customWidth="1"/>
    <col min="11276" max="11284" width="0" style="462" hidden="1" customWidth="1"/>
    <col min="11285" max="11285" width="10.44140625" style="462" customWidth="1"/>
    <col min="11286" max="11517" width="8.88671875" style="462"/>
    <col min="11518" max="11518" width="57.21875" style="462" bestFit="1" customWidth="1"/>
    <col min="11519" max="11519" width="10.6640625" style="462" bestFit="1" customWidth="1"/>
    <col min="11520" max="11530" width="0" style="462" hidden="1" customWidth="1"/>
    <col min="11531" max="11531" width="14.88671875" style="462" bestFit="1" customWidth="1"/>
    <col min="11532" max="11540" width="0" style="462" hidden="1" customWidth="1"/>
    <col min="11541" max="11541" width="10.44140625" style="462" customWidth="1"/>
    <col min="11542" max="11773" width="8.88671875" style="462"/>
    <col min="11774" max="11774" width="57.21875" style="462" bestFit="1" customWidth="1"/>
    <col min="11775" max="11775" width="10.6640625" style="462" bestFit="1" customWidth="1"/>
    <col min="11776" max="11786" width="0" style="462" hidden="1" customWidth="1"/>
    <col min="11787" max="11787" width="14.88671875" style="462" bestFit="1" customWidth="1"/>
    <col min="11788" max="11796" width="0" style="462" hidden="1" customWidth="1"/>
    <col min="11797" max="11797" width="10.44140625" style="462" customWidth="1"/>
    <col min="11798" max="12029" width="8.88671875" style="462"/>
    <col min="12030" max="12030" width="57.21875" style="462" bestFit="1" customWidth="1"/>
    <col min="12031" max="12031" width="10.6640625" style="462" bestFit="1" customWidth="1"/>
    <col min="12032" max="12042" width="0" style="462" hidden="1" customWidth="1"/>
    <col min="12043" max="12043" width="14.88671875" style="462" bestFit="1" customWidth="1"/>
    <col min="12044" max="12052" width="0" style="462" hidden="1" customWidth="1"/>
    <col min="12053" max="12053" width="10.44140625" style="462" customWidth="1"/>
    <col min="12054" max="12285" width="8.88671875" style="462"/>
    <col min="12286" max="12286" width="57.21875" style="462" bestFit="1" customWidth="1"/>
    <col min="12287" max="12287" width="10.6640625" style="462" bestFit="1" customWidth="1"/>
    <col min="12288" max="12298" width="0" style="462" hidden="1" customWidth="1"/>
    <col min="12299" max="12299" width="14.88671875" style="462" bestFit="1" customWidth="1"/>
    <col min="12300" max="12308" width="0" style="462" hidden="1" customWidth="1"/>
    <col min="12309" max="12309" width="10.44140625" style="462" customWidth="1"/>
    <col min="12310" max="12541" width="8.88671875" style="462"/>
    <col min="12542" max="12542" width="57.21875" style="462" bestFit="1" customWidth="1"/>
    <col min="12543" max="12543" width="10.6640625" style="462" bestFit="1" customWidth="1"/>
    <col min="12544" max="12554" width="0" style="462" hidden="1" customWidth="1"/>
    <col min="12555" max="12555" width="14.88671875" style="462" bestFit="1" customWidth="1"/>
    <col min="12556" max="12564" width="0" style="462" hidden="1" customWidth="1"/>
    <col min="12565" max="12565" width="10.44140625" style="462" customWidth="1"/>
    <col min="12566" max="12797" width="8.88671875" style="462"/>
    <col min="12798" max="12798" width="57.21875" style="462" bestFit="1" customWidth="1"/>
    <col min="12799" max="12799" width="10.6640625" style="462" bestFit="1" customWidth="1"/>
    <col min="12800" max="12810" width="0" style="462" hidden="1" customWidth="1"/>
    <col min="12811" max="12811" width="14.88671875" style="462" bestFit="1" customWidth="1"/>
    <col min="12812" max="12820" width="0" style="462" hidden="1" customWidth="1"/>
    <col min="12821" max="12821" width="10.44140625" style="462" customWidth="1"/>
    <col min="12822" max="13053" width="8.88671875" style="462"/>
    <col min="13054" max="13054" width="57.21875" style="462" bestFit="1" customWidth="1"/>
    <col min="13055" max="13055" width="10.6640625" style="462" bestFit="1" customWidth="1"/>
    <col min="13056" max="13066" width="0" style="462" hidden="1" customWidth="1"/>
    <col min="13067" max="13067" width="14.88671875" style="462" bestFit="1" customWidth="1"/>
    <col min="13068" max="13076" width="0" style="462" hidden="1" customWidth="1"/>
    <col min="13077" max="13077" width="10.44140625" style="462" customWidth="1"/>
    <col min="13078" max="13309" width="8.88671875" style="462"/>
    <col min="13310" max="13310" width="57.21875" style="462" bestFit="1" customWidth="1"/>
    <col min="13311" max="13311" width="10.6640625" style="462" bestFit="1" customWidth="1"/>
    <col min="13312" max="13322" width="0" style="462" hidden="1" customWidth="1"/>
    <col min="13323" max="13323" width="14.88671875" style="462" bestFit="1" customWidth="1"/>
    <col min="13324" max="13332" width="0" style="462" hidden="1" customWidth="1"/>
    <col min="13333" max="13333" width="10.44140625" style="462" customWidth="1"/>
    <col min="13334" max="13565" width="8.88671875" style="462"/>
    <col min="13566" max="13566" width="57.21875" style="462" bestFit="1" customWidth="1"/>
    <col min="13567" max="13567" width="10.6640625" style="462" bestFit="1" customWidth="1"/>
    <col min="13568" max="13578" width="0" style="462" hidden="1" customWidth="1"/>
    <col min="13579" max="13579" width="14.88671875" style="462" bestFit="1" customWidth="1"/>
    <col min="13580" max="13588" width="0" style="462" hidden="1" customWidth="1"/>
    <col min="13589" max="13589" width="10.44140625" style="462" customWidth="1"/>
    <col min="13590" max="13821" width="8.88671875" style="462"/>
    <col min="13822" max="13822" width="57.21875" style="462" bestFit="1" customWidth="1"/>
    <col min="13823" max="13823" width="10.6640625" style="462" bestFit="1" customWidth="1"/>
    <col min="13824" max="13834" width="0" style="462" hidden="1" customWidth="1"/>
    <col min="13835" max="13835" width="14.88671875" style="462" bestFit="1" customWidth="1"/>
    <col min="13836" max="13844" width="0" style="462" hidden="1" customWidth="1"/>
    <col min="13845" max="13845" width="10.44140625" style="462" customWidth="1"/>
    <col min="13846" max="14077" width="8.88671875" style="462"/>
    <col min="14078" max="14078" width="57.21875" style="462" bestFit="1" customWidth="1"/>
    <col min="14079" max="14079" width="10.6640625" style="462" bestFit="1" customWidth="1"/>
    <col min="14080" max="14090" width="0" style="462" hidden="1" customWidth="1"/>
    <col min="14091" max="14091" width="14.88671875" style="462" bestFit="1" customWidth="1"/>
    <col min="14092" max="14100" width="0" style="462" hidden="1" customWidth="1"/>
    <col min="14101" max="14101" width="10.44140625" style="462" customWidth="1"/>
    <col min="14102" max="14333" width="8.88671875" style="462"/>
    <col min="14334" max="14334" width="57.21875" style="462" bestFit="1" customWidth="1"/>
    <col min="14335" max="14335" width="10.6640625" style="462" bestFit="1" customWidth="1"/>
    <col min="14336" max="14346" width="0" style="462" hidden="1" customWidth="1"/>
    <col min="14347" max="14347" width="14.88671875" style="462" bestFit="1" customWidth="1"/>
    <col min="14348" max="14356" width="0" style="462" hidden="1" customWidth="1"/>
    <col min="14357" max="14357" width="10.44140625" style="462" customWidth="1"/>
    <col min="14358" max="14589" width="8.88671875" style="462"/>
    <col min="14590" max="14590" width="57.21875" style="462" bestFit="1" customWidth="1"/>
    <col min="14591" max="14591" width="10.6640625" style="462" bestFit="1" customWidth="1"/>
    <col min="14592" max="14602" width="0" style="462" hidden="1" customWidth="1"/>
    <col min="14603" max="14603" width="14.88671875" style="462" bestFit="1" customWidth="1"/>
    <col min="14604" max="14612" width="0" style="462" hidden="1" customWidth="1"/>
    <col min="14613" max="14613" width="10.44140625" style="462" customWidth="1"/>
    <col min="14614" max="14845" width="8.88671875" style="462"/>
    <col min="14846" max="14846" width="57.21875" style="462" bestFit="1" customWidth="1"/>
    <col min="14847" max="14847" width="10.6640625" style="462" bestFit="1" customWidth="1"/>
    <col min="14848" max="14858" width="0" style="462" hidden="1" customWidth="1"/>
    <col min="14859" max="14859" width="14.88671875" style="462" bestFit="1" customWidth="1"/>
    <col min="14860" max="14868" width="0" style="462" hidden="1" customWidth="1"/>
    <col min="14869" max="14869" width="10.44140625" style="462" customWidth="1"/>
    <col min="14870" max="15101" width="8.88671875" style="462"/>
    <col min="15102" max="15102" width="57.21875" style="462" bestFit="1" customWidth="1"/>
    <col min="15103" max="15103" width="10.6640625" style="462" bestFit="1" customWidth="1"/>
    <col min="15104" max="15114" width="0" style="462" hidden="1" customWidth="1"/>
    <col min="15115" max="15115" width="14.88671875" style="462" bestFit="1" customWidth="1"/>
    <col min="15116" max="15124" width="0" style="462" hidden="1" customWidth="1"/>
    <col min="15125" max="15125" width="10.44140625" style="462" customWidth="1"/>
    <col min="15126" max="15357" width="8.88671875" style="462"/>
    <col min="15358" max="15358" width="57.21875" style="462" bestFit="1" customWidth="1"/>
    <col min="15359" max="15359" width="10.6640625" style="462" bestFit="1" customWidth="1"/>
    <col min="15360" max="15370" width="0" style="462" hidden="1" customWidth="1"/>
    <col min="15371" max="15371" width="14.88671875" style="462" bestFit="1" customWidth="1"/>
    <col min="15372" max="15380" width="0" style="462" hidden="1" customWidth="1"/>
    <col min="15381" max="15381" width="10.44140625" style="462" customWidth="1"/>
    <col min="15382" max="15613" width="8.88671875" style="462"/>
    <col min="15614" max="15614" width="57.21875" style="462" bestFit="1" customWidth="1"/>
    <col min="15615" max="15615" width="10.6640625" style="462" bestFit="1" customWidth="1"/>
    <col min="15616" max="15626" width="0" style="462" hidden="1" customWidth="1"/>
    <col min="15627" max="15627" width="14.88671875" style="462" bestFit="1" customWidth="1"/>
    <col min="15628" max="15636" width="0" style="462" hidden="1" customWidth="1"/>
    <col min="15637" max="15637" width="10.44140625" style="462" customWidth="1"/>
    <col min="15638" max="15869" width="8.88671875" style="462"/>
    <col min="15870" max="15870" width="57.21875" style="462" bestFit="1" customWidth="1"/>
    <col min="15871" max="15871" width="10.6640625" style="462" bestFit="1" customWidth="1"/>
    <col min="15872" max="15882" width="0" style="462" hidden="1" customWidth="1"/>
    <col min="15883" max="15883" width="14.88671875" style="462" bestFit="1" customWidth="1"/>
    <col min="15884" max="15892" width="0" style="462" hidden="1" customWidth="1"/>
    <col min="15893" max="15893" width="10.44140625" style="462" customWidth="1"/>
    <col min="15894" max="16125" width="8.88671875" style="462"/>
    <col min="16126" max="16126" width="57.21875" style="462" bestFit="1" customWidth="1"/>
    <col min="16127" max="16127" width="10.6640625" style="462" bestFit="1" customWidth="1"/>
    <col min="16128" max="16138" width="0" style="462" hidden="1" customWidth="1"/>
    <col min="16139" max="16139" width="14.88671875" style="462" bestFit="1" customWidth="1"/>
    <col min="16140" max="16148" width="0" style="462" hidden="1" customWidth="1"/>
    <col min="16149" max="16149" width="10.44140625" style="462" customWidth="1"/>
    <col min="16150" max="16381" width="8.88671875" style="462"/>
    <col min="16382" max="16384" width="12.6640625" style="462" customWidth="1"/>
  </cols>
  <sheetData>
    <row r="1" spans="1:16" s="456" customFormat="1" ht="16.2">
      <c r="A1" s="548" t="s">
        <v>302</v>
      </c>
      <c r="B1" s="549"/>
      <c r="C1" s="549"/>
      <c r="D1" s="549"/>
      <c r="E1" s="549"/>
      <c r="F1" s="549"/>
      <c r="G1" s="549"/>
      <c r="H1" s="549"/>
      <c r="I1" s="549"/>
      <c r="J1" s="549"/>
      <c r="K1" s="549"/>
      <c r="L1" s="549"/>
      <c r="M1" s="549"/>
      <c r="N1" s="549"/>
      <c r="P1" s="457"/>
    </row>
    <row r="2" spans="1:16" s="456" customFormat="1" ht="15.6">
      <c r="A2" s="550" t="s">
        <v>318</v>
      </c>
      <c r="B2" s="551"/>
      <c r="C2" s="551"/>
      <c r="D2" s="551"/>
      <c r="E2" s="551"/>
      <c r="F2" s="551"/>
      <c r="G2" s="551"/>
      <c r="H2" s="551"/>
      <c r="I2" s="551"/>
      <c r="J2" s="551"/>
      <c r="K2" s="551"/>
      <c r="L2" s="551"/>
      <c r="M2" s="551"/>
      <c r="N2" s="551"/>
      <c r="P2" s="457"/>
    </row>
    <row r="3" spans="1:16" s="456" customFormat="1" ht="15.6">
      <c r="A3" s="546" t="str">
        <f>'Fund 0888 '!R4</f>
        <v>July 2017</v>
      </c>
      <c r="B3" s="547"/>
      <c r="C3" s="547"/>
      <c r="D3" s="547"/>
      <c r="E3" s="547"/>
      <c r="F3" s="547"/>
      <c r="G3" s="547"/>
      <c r="H3" s="547"/>
      <c r="I3" s="547"/>
      <c r="J3" s="547"/>
      <c r="K3" s="547"/>
      <c r="L3" s="547"/>
      <c r="M3" s="547"/>
      <c r="N3" s="547"/>
      <c r="P3" s="457"/>
    </row>
    <row r="4" spans="1:16" s="456" customFormat="1">
      <c r="A4" s="458"/>
      <c r="B4" s="451"/>
      <c r="C4" s="451"/>
      <c r="D4" s="451"/>
      <c r="E4" s="451"/>
      <c r="F4" s="451"/>
      <c r="G4" s="451"/>
      <c r="H4" s="459"/>
      <c r="I4" s="459"/>
      <c r="J4" s="459"/>
      <c r="K4" s="437"/>
      <c r="L4" s="437"/>
      <c r="M4" s="437"/>
      <c r="N4" s="437"/>
      <c r="P4" s="457"/>
    </row>
    <row r="5" spans="1:16">
      <c r="A5" s="460"/>
      <c r="B5" s="451"/>
      <c r="C5" s="451"/>
      <c r="D5" s="451"/>
      <c r="E5" s="451"/>
      <c r="F5" s="451"/>
      <c r="G5" s="451"/>
      <c r="H5" s="461"/>
      <c r="I5" s="461"/>
      <c r="J5" s="461"/>
      <c r="K5" s="451"/>
      <c r="L5" s="451"/>
      <c r="M5" s="451"/>
      <c r="N5" s="451"/>
    </row>
    <row r="6" spans="1:16" ht="15.6">
      <c r="A6" s="122"/>
      <c r="B6" s="518"/>
      <c r="C6" s="518"/>
      <c r="D6" s="518"/>
      <c r="E6" s="518"/>
      <c r="F6" s="518"/>
      <c r="G6" s="518"/>
      <c r="H6" s="518"/>
      <c r="I6" s="518"/>
      <c r="J6" s="518"/>
      <c r="K6" s="518"/>
      <c r="L6" s="518"/>
      <c r="M6" s="518"/>
      <c r="N6" s="518" t="str">
        <f>'Fund 0888 '!N6</f>
        <v>FY 2017 YTD</v>
      </c>
    </row>
    <row r="7" spans="1:16" s="464" customFormat="1" ht="16.2" thickBot="1">
      <c r="A7" s="123"/>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c r="P7" s="463"/>
    </row>
    <row r="8" spans="1:16" ht="16.2" thickTop="1">
      <c r="A8" s="122"/>
      <c r="B8" s="107"/>
      <c r="C8" s="107"/>
      <c r="D8" s="107"/>
      <c r="E8" s="107"/>
      <c r="F8" s="107"/>
      <c r="G8" s="107"/>
      <c r="H8" s="124"/>
      <c r="I8" s="125"/>
      <c r="J8" s="125"/>
      <c r="K8" s="107"/>
      <c r="L8" s="107"/>
      <c r="M8" s="107"/>
      <c r="N8" s="107"/>
    </row>
    <row r="9" spans="1:16" ht="16.2" thickBot="1">
      <c r="A9" s="487"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row>
    <row r="10" spans="1:16" ht="15.6">
      <c r="A10" s="122"/>
      <c r="B10" s="107"/>
      <c r="C10" s="107"/>
      <c r="D10" s="107"/>
      <c r="E10" s="107"/>
      <c r="F10" s="107"/>
      <c r="G10" s="107"/>
      <c r="H10" s="124"/>
      <c r="I10" s="124"/>
      <c r="J10" s="124"/>
      <c r="K10" s="107"/>
      <c r="L10" s="107"/>
      <c r="M10" s="107"/>
      <c r="N10" s="107"/>
    </row>
    <row r="11" spans="1:16" ht="15.6">
      <c r="A11" s="106" t="s">
        <v>299</v>
      </c>
      <c r="B11" s="107"/>
      <c r="C11" s="107"/>
      <c r="D11" s="107"/>
      <c r="E11" s="107"/>
      <c r="F11" s="107"/>
      <c r="G11" s="107"/>
      <c r="H11" s="124"/>
      <c r="I11" s="124"/>
      <c r="J11" s="124"/>
      <c r="K11" s="107"/>
      <c r="L11" s="107"/>
      <c r="M11" s="107"/>
      <c r="N11" s="107"/>
    </row>
    <row r="12" spans="1:16" ht="15.6">
      <c r="A12" s="122"/>
      <c r="B12" s="107"/>
      <c r="C12" s="107"/>
      <c r="D12" s="107"/>
      <c r="E12" s="107"/>
      <c r="F12" s="107"/>
      <c r="G12" s="107"/>
      <c r="H12" s="124"/>
      <c r="I12" s="124"/>
      <c r="J12" s="124"/>
      <c r="K12" s="107"/>
      <c r="L12" s="107"/>
      <c r="M12" s="107"/>
      <c r="N12" s="107"/>
    </row>
    <row r="13" spans="1:16" ht="15.6">
      <c r="A13" s="126" t="s">
        <v>320</v>
      </c>
      <c r="B13" s="121">
        <v>1825.11</v>
      </c>
      <c r="C13" s="127">
        <v>627.23</v>
      </c>
      <c r="D13" s="121">
        <v>3552.8700000000003</v>
      </c>
      <c r="E13" s="121">
        <v>828.12</v>
      </c>
      <c r="F13" s="121">
        <v>31435.689999999995</v>
      </c>
      <c r="G13" s="121">
        <v>15225.18</v>
      </c>
      <c r="H13" s="121">
        <v>1458.2099999999996</v>
      </c>
      <c r="I13" s="121">
        <v>19759.100000000002</v>
      </c>
      <c r="J13" s="121">
        <v>1570.9299999999996</v>
      </c>
      <c r="K13" s="121">
        <v>10780.62</v>
      </c>
      <c r="L13" s="121">
        <v>1809.6699999999998</v>
      </c>
      <c r="M13" s="121"/>
      <c r="N13" s="121">
        <f t="shared" ref="N13:N18" si="1">ROUND(SUM(B13:M13),0)</f>
        <v>88873</v>
      </c>
      <c r="O13" s="465"/>
    </row>
    <row r="14" spans="1:16" ht="15.6">
      <c r="A14" s="122" t="s">
        <v>321</v>
      </c>
      <c r="B14" s="121">
        <v>5701.66</v>
      </c>
      <c r="C14" s="127">
        <v>5972.99</v>
      </c>
      <c r="D14" s="121">
        <v>4638.1400000000003</v>
      </c>
      <c r="E14" s="121">
        <v>4243.87</v>
      </c>
      <c r="F14" s="121">
        <v>4761.3900000000003</v>
      </c>
      <c r="G14" s="121">
        <v>4675.51</v>
      </c>
      <c r="H14" s="121">
        <v>7094.35</v>
      </c>
      <c r="I14" s="121">
        <v>6273.65</v>
      </c>
      <c r="J14" s="121">
        <v>4353.32</v>
      </c>
      <c r="K14" s="121">
        <v>5739.21</v>
      </c>
      <c r="L14" s="121">
        <v>5283.7</v>
      </c>
      <c r="M14" s="121"/>
      <c r="N14" s="121">
        <f t="shared" si="1"/>
        <v>58738</v>
      </c>
    </row>
    <row r="15" spans="1:16" ht="15.6">
      <c r="A15" s="122" t="s">
        <v>322</v>
      </c>
      <c r="B15" s="121">
        <v>0</v>
      </c>
      <c r="C15" s="127">
        <v>21230.15</v>
      </c>
      <c r="D15" s="121">
        <v>20626.88</v>
      </c>
      <c r="E15" s="121">
        <v>2458</v>
      </c>
      <c r="F15" s="121">
        <v>0</v>
      </c>
      <c r="G15" s="121">
        <v>19598.2</v>
      </c>
      <c r="H15" s="121">
        <v>512146</v>
      </c>
      <c r="I15" s="121">
        <v>757852.17</v>
      </c>
      <c r="J15" s="121">
        <v>3120</v>
      </c>
      <c r="K15" s="121">
        <v>611712.5</v>
      </c>
      <c r="L15" s="121">
        <v>1511329.55</v>
      </c>
      <c r="M15" s="121"/>
      <c r="N15" s="121">
        <f t="shared" si="1"/>
        <v>3460073</v>
      </c>
    </row>
    <row r="16" spans="1:16" ht="15.6">
      <c r="A16" s="128" t="s">
        <v>323</v>
      </c>
      <c r="B16" s="121">
        <v>1272.2399999999998</v>
      </c>
      <c r="C16" s="127">
        <v>1556.3600000000001</v>
      </c>
      <c r="D16" s="121">
        <v>555.17999999999995</v>
      </c>
      <c r="E16" s="121">
        <v>1819.2800000000002</v>
      </c>
      <c r="F16" s="121">
        <v>1145.9499999999998</v>
      </c>
      <c r="G16" s="121">
        <v>910.42000000000007</v>
      </c>
      <c r="H16" s="121">
        <v>2283.91</v>
      </c>
      <c r="I16" s="121">
        <v>2204.1799999999998</v>
      </c>
      <c r="J16" s="121">
        <v>912.45</v>
      </c>
      <c r="K16" s="121">
        <v>1291.8900000000001</v>
      </c>
      <c r="L16" s="121">
        <v>3667.4</v>
      </c>
      <c r="M16" s="121"/>
      <c r="N16" s="121">
        <f t="shared" si="1"/>
        <v>17619</v>
      </c>
    </row>
    <row r="17" spans="1:16" ht="15.6">
      <c r="A17" s="128" t="s">
        <v>433</v>
      </c>
      <c r="B17" s="121"/>
      <c r="C17" s="121"/>
      <c r="D17" s="121">
        <v>24.3</v>
      </c>
      <c r="E17" s="121"/>
      <c r="F17" s="121">
        <v>30262.29</v>
      </c>
      <c r="G17" s="121">
        <v>34408.58</v>
      </c>
      <c r="H17" s="121"/>
      <c r="I17" s="121"/>
      <c r="J17" s="121">
        <v>39387.39</v>
      </c>
      <c r="K17" s="121">
        <v>15187.46</v>
      </c>
      <c r="L17" s="121"/>
      <c r="M17" s="121"/>
      <c r="N17" s="121">
        <f t="shared" si="1"/>
        <v>119270</v>
      </c>
    </row>
    <row r="18" spans="1:16" ht="15.6">
      <c r="A18" s="122" t="s">
        <v>324</v>
      </c>
      <c r="B18" s="107">
        <v>19973.77</v>
      </c>
      <c r="C18" s="107">
        <v>5922.73</v>
      </c>
      <c r="D18" s="107">
        <v>1140</v>
      </c>
      <c r="E18" s="107">
        <v>0</v>
      </c>
      <c r="F18" s="107">
        <v>0</v>
      </c>
      <c r="G18" s="107">
        <v>105</v>
      </c>
      <c r="H18" s="107">
        <v>0</v>
      </c>
      <c r="I18" s="107">
        <v>0</v>
      </c>
      <c r="J18" s="107">
        <v>0</v>
      </c>
      <c r="K18" s="107">
        <v>0</v>
      </c>
      <c r="L18" s="107">
        <v>1125</v>
      </c>
      <c r="M18" s="107"/>
      <c r="N18" s="121">
        <f t="shared" si="1"/>
        <v>28267</v>
      </c>
      <c r="P18" s="462"/>
    </row>
    <row r="19" spans="1:16" ht="15.6">
      <c r="A19" s="122"/>
      <c r="B19" s="107"/>
      <c r="C19" s="107"/>
      <c r="D19" s="107"/>
      <c r="E19" s="107"/>
      <c r="F19" s="107"/>
      <c r="G19" s="107"/>
      <c r="H19" s="124"/>
      <c r="I19" s="124"/>
      <c r="J19" s="124"/>
      <c r="K19" s="107"/>
      <c r="L19" s="107"/>
      <c r="M19" s="107"/>
      <c r="N19" s="107"/>
    </row>
    <row r="20" spans="1:16" ht="15.6">
      <c r="A20" s="108" t="s">
        <v>294</v>
      </c>
      <c r="B20" s="116">
        <f>SUM(B13:B19)</f>
        <v>28772.78</v>
      </c>
      <c r="C20" s="116">
        <f>SUM(C13:C19)</f>
        <v>35309.460000000006</v>
      </c>
      <c r="D20" s="116">
        <f>SUM(D13:D19)</f>
        <v>30537.37</v>
      </c>
      <c r="E20" s="116">
        <f>SUM(E13:E19)</f>
        <v>9349.27</v>
      </c>
      <c r="F20" s="116">
        <f>SUM(F13:F19)</f>
        <v>67605.319999999992</v>
      </c>
      <c r="G20" s="116">
        <f>SUM(G13:G19)</f>
        <v>74922.89</v>
      </c>
      <c r="H20" s="116">
        <f>SUM(H13:H19)</f>
        <v>522982.47</v>
      </c>
      <c r="I20" s="116">
        <f>SUM(I13:I19)</f>
        <v>786089.10000000009</v>
      </c>
      <c r="J20" s="116">
        <f>SUM(J13:J19)</f>
        <v>49344.09</v>
      </c>
      <c r="K20" s="116">
        <f>ROUND((SUM(K13:K19)),0)</f>
        <v>644712</v>
      </c>
      <c r="L20" s="116">
        <f>ROUND((SUM(L13:L19)),0)</f>
        <v>1523215</v>
      </c>
      <c r="M20" s="116">
        <f>ROUND((SUM(M13:M19)),0)</f>
        <v>0</v>
      </c>
      <c r="N20" s="116">
        <f>SUM(B20:M20)</f>
        <v>3772839.75</v>
      </c>
    </row>
    <row r="21" spans="1:16" ht="15.6">
      <c r="A21" s="122"/>
      <c r="B21" s="107"/>
      <c r="C21" s="107"/>
      <c r="D21" s="107"/>
      <c r="E21" s="107"/>
      <c r="F21" s="107"/>
      <c r="G21" s="107"/>
      <c r="H21" s="130"/>
      <c r="I21" s="130"/>
      <c r="J21" s="130"/>
      <c r="K21" s="107"/>
      <c r="L21" s="107"/>
      <c r="M21" s="107"/>
      <c r="N21" s="107"/>
    </row>
    <row r="22" spans="1:16" ht="15.6">
      <c r="A22" s="106" t="s">
        <v>293</v>
      </c>
      <c r="B22" s="107"/>
      <c r="C22" s="107"/>
      <c r="D22" s="107"/>
      <c r="E22" s="107"/>
      <c r="F22" s="107"/>
      <c r="G22" s="107"/>
      <c r="H22" s="130"/>
      <c r="I22" s="130"/>
      <c r="J22" s="130"/>
      <c r="K22" s="107"/>
      <c r="L22" s="107"/>
      <c r="M22" s="107"/>
      <c r="N22" s="107"/>
    </row>
    <row r="23" spans="1:16" ht="15.6">
      <c r="A23" s="131"/>
      <c r="B23" s="107"/>
      <c r="C23" s="107"/>
      <c r="D23" s="107"/>
      <c r="E23" s="107"/>
      <c r="F23" s="107"/>
      <c r="G23" s="107"/>
      <c r="H23" s="130"/>
      <c r="I23" s="130"/>
      <c r="J23" s="130"/>
      <c r="K23" s="107"/>
      <c r="L23" s="107"/>
      <c r="M23" s="107"/>
      <c r="N23" s="107"/>
    </row>
    <row r="24" spans="1:16" ht="15.6">
      <c r="A24" s="120" t="s">
        <v>314</v>
      </c>
      <c r="B24" s="107">
        <f t="shared" ref="B24:J24" si="2">-B20</f>
        <v>-28772.78</v>
      </c>
      <c r="C24" s="107">
        <f t="shared" si="2"/>
        <v>-35309.460000000006</v>
      </c>
      <c r="D24" s="107">
        <f t="shared" si="2"/>
        <v>-30537.37</v>
      </c>
      <c r="E24" s="107">
        <f t="shared" si="2"/>
        <v>-9349.27</v>
      </c>
      <c r="F24" s="107">
        <f t="shared" si="2"/>
        <v>-67605.319999999992</v>
      </c>
      <c r="G24" s="107">
        <f t="shared" si="2"/>
        <v>-74922.89</v>
      </c>
      <c r="H24" s="107">
        <f t="shared" si="2"/>
        <v>-522982.47</v>
      </c>
      <c r="I24" s="107">
        <f t="shared" si="2"/>
        <v>-786089.10000000009</v>
      </c>
      <c r="J24" s="107">
        <f t="shared" si="2"/>
        <v>-49344.09</v>
      </c>
      <c r="K24" s="107">
        <f>ROUND(-K20,0)</f>
        <v>-644712</v>
      </c>
      <c r="L24" s="107">
        <f>ROUND(-L20,0)</f>
        <v>-1523215</v>
      </c>
      <c r="M24" s="107">
        <f>ROUND(-M20,0)</f>
        <v>0</v>
      </c>
      <c r="N24" s="107">
        <f>ROUND(SUM(B24:M24),0)</f>
        <v>-3772840</v>
      </c>
    </row>
    <row r="25" spans="1:16" ht="15.6">
      <c r="A25" s="131"/>
      <c r="B25" s="107"/>
      <c r="C25" s="107"/>
      <c r="D25" s="107"/>
      <c r="E25" s="107"/>
      <c r="F25" s="107"/>
      <c r="G25" s="107"/>
      <c r="H25" s="130"/>
      <c r="I25" s="130"/>
      <c r="J25" s="130"/>
      <c r="K25" s="107"/>
      <c r="L25" s="107"/>
      <c r="M25" s="107"/>
      <c r="N25" s="107"/>
    </row>
    <row r="26" spans="1:16" ht="15.6">
      <c r="A26" s="131"/>
      <c r="B26" s="107"/>
      <c r="C26" s="107"/>
      <c r="D26" s="107"/>
      <c r="E26" s="107"/>
      <c r="F26" s="107"/>
      <c r="G26" s="107"/>
      <c r="H26" s="130"/>
      <c r="I26" s="130"/>
      <c r="J26" s="130"/>
      <c r="K26" s="107"/>
      <c r="L26" s="107"/>
      <c r="M26" s="107"/>
      <c r="N26" s="107"/>
    </row>
    <row r="27" spans="1:16" ht="15.6">
      <c r="A27" s="106" t="s">
        <v>291</v>
      </c>
      <c r="B27" s="116">
        <f t="shared" ref="B27:M27" si="3">ROUND(SUM(B23:B26),0)</f>
        <v>-28773</v>
      </c>
      <c r="C27" s="116">
        <f t="shared" si="3"/>
        <v>-35309</v>
      </c>
      <c r="D27" s="116">
        <f t="shared" si="3"/>
        <v>-30537</v>
      </c>
      <c r="E27" s="116">
        <f t="shared" si="3"/>
        <v>-9349</v>
      </c>
      <c r="F27" s="116">
        <f t="shared" si="3"/>
        <v>-67605</v>
      </c>
      <c r="G27" s="116">
        <f t="shared" si="3"/>
        <v>-74923</v>
      </c>
      <c r="H27" s="116">
        <f t="shared" si="3"/>
        <v>-522982</v>
      </c>
      <c r="I27" s="116">
        <f t="shared" si="3"/>
        <v>-786089</v>
      </c>
      <c r="J27" s="116">
        <f t="shared" si="3"/>
        <v>-49344</v>
      </c>
      <c r="K27" s="116">
        <f t="shared" si="3"/>
        <v>-644712</v>
      </c>
      <c r="L27" s="116">
        <f t="shared" si="3"/>
        <v>-1523215</v>
      </c>
      <c r="M27" s="116">
        <f t="shared" si="3"/>
        <v>0</v>
      </c>
      <c r="N27" s="116">
        <f>SUM(N23:N26)</f>
        <v>-3772840</v>
      </c>
    </row>
    <row r="28" spans="1:16" ht="15.6">
      <c r="A28" s="122"/>
      <c r="B28" s="107"/>
      <c r="C28" s="107"/>
      <c r="D28" s="107"/>
      <c r="E28" s="107"/>
      <c r="F28" s="107"/>
      <c r="G28" s="107"/>
      <c r="H28" s="130"/>
      <c r="I28" s="130"/>
      <c r="J28" s="130"/>
      <c r="K28" s="107"/>
      <c r="L28" s="107"/>
      <c r="M28" s="107"/>
      <c r="N28" s="107"/>
    </row>
    <row r="29" spans="1:16" ht="16.2" thickBot="1">
      <c r="A29" s="487" t="s">
        <v>290</v>
      </c>
      <c r="B29" s="496">
        <f>ROUND(+B9+B20+B27,0)</f>
        <v>0</v>
      </c>
      <c r="C29" s="496">
        <f>ROUND(+C9+C20+C27,0)</f>
        <v>0</v>
      </c>
      <c r="D29" s="496">
        <f>ROUND(+D9+D20+D27,0)</f>
        <v>0</v>
      </c>
      <c r="E29" s="496">
        <f>ROUND(+E9+E20+E27,0)</f>
        <v>0</v>
      </c>
      <c r="F29" s="496">
        <f>ROUND(+F9+F20+F27,0)</f>
        <v>0</v>
      </c>
      <c r="G29" s="496">
        <f>ROUND(+G9+G20+G27,0)</f>
        <v>0</v>
      </c>
      <c r="H29" s="496">
        <f>ROUND(+H9+H20+H27,0)</f>
        <v>0</v>
      </c>
      <c r="I29" s="496">
        <f>ROUND(+I9+I20+I27,0)</f>
        <v>0</v>
      </c>
      <c r="J29" s="496">
        <f>ROUND(+J9+J20+J27,0)</f>
        <v>0</v>
      </c>
      <c r="K29" s="496">
        <f>ROUND(+K9+K20+K27,0)</f>
        <v>0</v>
      </c>
      <c r="L29" s="496">
        <f>ROUND(+L9+L20+L27,0)</f>
        <v>0</v>
      </c>
      <c r="M29" s="496">
        <f>ROUND(+M9+M20+M27,0)</f>
        <v>0</v>
      </c>
      <c r="N29" s="496">
        <f>ROUND(+N9+N20+N27,0)</f>
        <v>0</v>
      </c>
    </row>
    <row r="30" spans="1:16" ht="15.6">
      <c r="A30" s="132"/>
      <c r="B30" s="101"/>
      <c r="C30" s="101"/>
      <c r="D30" s="101"/>
      <c r="E30" s="101"/>
      <c r="F30" s="101"/>
      <c r="G30" s="101"/>
      <c r="H30" s="101"/>
      <c r="I30" s="101"/>
      <c r="J30" s="101"/>
      <c r="K30" s="101"/>
      <c r="L30" s="101"/>
      <c r="M30" s="101"/>
      <c r="N30" s="101"/>
    </row>
    <row r="31" spans="1:16" ht="15.6">
      <c r="A31" s="132"/>
      <c r="B31" s="101"/>
      <c r="C31" s="101"/>
      <c r="D31" s="101"/>
      <c r="E31" s="101"/>
      <c r="F31" s="101"/>
      <c r="G31" s="101"/>
      <c r="H31" s="101"/>
      <c r="I31" s="101"/>
      <c r="J31" s="101"/>
      <c r="K31" s="101"/>
      <c r="L31" s="101"/>
      <c r="M31" s="101"/>
      <c r="N31" s="101"/>
    </row>
    <row r="32" spans="1:16"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33"/>
      <c r="D36" s="101"/>
      <c r="E36" s="101"/>
      <c r="F36" s="101"/>
      <c r="G36" s="101"/>
      <c r="H36" s="101"/>
      <c r="I36" s="101"/>
      <c r="J36" s="101"/>
      <c r="K36" s="101"/>
      <c r="L36" s="101"/>
      <c r="M36" s="101"/>
      <c r="N36" s="101"/>
    </row>
    <row r="37" spans="1:14" ht="15.6">
      <c r="A37" s="132"/>
      <c r="B37" s="101"/>
      <c r="C37" s="133"/>
      <c r="D37" s="101"/>
      <c r="E37" s="101"/>
      <c r="F37" s="101"/>
      <c r="G37" s="101"/>
      <c r="H37" s="101"/>
      <c r="I37" s="101"/>
      <c r="J37" s="101"/>
      <c r="K37" s="101"/>
      <c r="L37" s="101"/>
      <c r="M37" s="101"/>
      <c r="N37" s="101"/>
    </row>
    <row r="38" spans="1:14" ht="15.6">
      <c r="A38" s="132"/>
      <c r="B38" s="101"/>
      <c r="C38" s="133"/>
      <c r="D38" s="101"/>
      <c r="E38" s="101"/>
      <c r="F38" s="101"/>
      <c r="G38" s="101"/>
      <c r="H38" s="101"/>
      <c r="I38" s="101"/>
      <c r="J38" s="101"/>
      <c r="K38" s="101"/>
      <c r="L38" s="101"/>
      <c r="M38" s="101"/>
      <c r="N38" s="101"/>
    </row>
    <row r="39" spans="1:14">
      <c r="C39" s="466"/>
    </row>
    <row r="40" spans="1:14">
      <c r="C40" s="466"/>
    </row>
    <row r="41" spans="1:14">
      <c r="C41" s="466"/>
    </row>
    <row r="42" spans="1:14">
      <c r="C42" s="466"/>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38"/>
  <sheetViews>
    <sheetView zoomScale="85" zoomScaleNormal="85" zoomScaleSheetLayoutView="85" workbookViewId="0">
      <selection activeCell="O21" sqref="O21"/>
    </sheetView>
  </sheetViews>
  <sheetFormatPr defaultRowHeight="13.2"/>
  <cols>
    <col min="1" max="1" width="71.33203125" style="462" bestFit="1" customWidth="1"/>
    <col min="2" max="2" width="11.33203125" style="445" hidden="1" customWidth="1"/>
    <col min="3" max="3" width="11.44140625" style="445" hidden="1" customWidth="1"/>
    <col min="4" max="4" width="11.77734375" style="445" hidden="1" customWidth="1"/>
    <col min="5" max="5" width="11.6640625" style="445" hidden="1" customWidth="1"/>
    <col min="6" max="6" width="11.33203125" style="445" hidden="1" customWidth="1"/>
    <col min="7" max="7" width="11.6640625" style="445" hidden="1" customWidth="1"/>
    <col min="8" max="8" width="12.109375" style="445" hidden="1" customWidth="1"/>
    <col min="9" max="9" width="11.6640625" style="445" hidden="1" customWidth="1"/>
    <col min="10" max="10" width="12.109375" style="445" hidden="1" customWidth="1"/>
    <col min="11" max="11" width="11.44140625" style="445" hidden="1" customWidth="1"/>
    <col min="12" max="12" width="11.109375" style="445" bestFit="1" customWidth="1"/>
    <col min="13" max="13" width="11.77734375" style="445" hidden="1" customWidth="1"/>
    <col min="14" max="14" width="15.6640625" style="445" bestFit="1" customWidth="1"/>
    <col min="15" max="15" width="22.21875" style="462" customWidth="1"/>
    <col min="16" max="16" width="22.21875" style="463" customWidth="1"/>
    <col min="17" max="17" width="22.21875" style="462" customWidth="1"/>
    <col min="18" max="19" width="9.21875" style="462" customWidth="1"/>
    <col min="20" max="20" width="12.6640625" style="462" customWidth="1"/>
    <col min="21" max="21" width="10.44140625" style="462" customWidth="1"/>
    <col min="22" max="253" width="8.88671875" style="462"/>
    <col min="254" max="254" width="63.5546875" style="462" bestFit="1" customWidth="1"/>
    <col min="255" max="255" width="10.6640625" style="462" bestFit="1" customWidth="1"/>
    <col min="256" max="266" width="0" style="462" hidden="1" customWidth="1"/>
    <col min="267" max="267" width="14.88671875" style="462" bestFit="1" customWidth="1"/>
    <col min="268" max="276" width="0" style="462" hidden="1" customWidth="1"/>
    <col min="277" max="277" width="10.44140625" style="462" customWidth="1"/>
    <col min="278" max="509" width="8.88671875" style="462"/>
    <col min="510" max="510" width="63.5546875" style="462" bestFit="1" customWidth="1"/>
    <col min="511" max="511" width="10.6640625" style="462" bestFit="1" customWidth="1"/>
    <col min="512" max="522" width="0" style="462" hidden="1" customWidth="1"/>
    <col min="523" max="523" width="14.88671875" style="462" bestFit="1" customWidth="1"/>
    <col min="524" max="532" width="0" style="462" hidden="1" customWidth="1"/>
    <col min="533" max="533" width="10.44140625" style="462" customWidth="1"/>
    <col min="534" max="765" width="8.88671875" style="462"/>
    <col min="766" max="766" width="63.5546875" style="462" bestFit="1" customWidth="1"/>
    <col min="767" max="767" width="10.6640625" style="462" bestFit="1" customWidth="1"/>
    <col min="768" max="778" width="0" style="462" hidden="1" customWidth="1"/>
    <col min="779" max="779" width="14.88671875" style="462" bestFit="1" customWidth="1"/>
    <col min="780" max="788" width="0" style="462" hidden="1" customWidth="1"/>
    <col min="789" max="789" width="10.44140625" style="462" customWidth="1"/>
    <col min="790" max="1021" width="8.88671875" style="462"/>
    <col min="1022" max="1022" width="63.5546875" style="462" bestFit="1" customWidth="1"/>
    <col min="1023" max="1023" width="10.6640625" style="462" bestFit="1" customWidth="1"/>
    <col min="1024" max="1034" width="0" style="462" hidden="1" customWidth="1"/>
    <col min="1035" max="1035" width="14.88671875" style="462" bestFit="1" customWidth="1"/>
    <col min="1036" max="1044" width="0" style="462" hidden="1" customWidth="1"/>
    <col min="1045" max="1045" width="10.44140625" style="462" customWidth="1"/>
    <col min="1046" max="1277" width="8.88671875" style="462"/>
    <col min="1278" max="1278" width="63.5546875" style="462" bestFit="1" customWidth="1"/>
    <col min="1279" max="1279" width="10.6640625" style="462" bestFit="1" customWidth="1"/>
    <col min="1280" max="1290" width="0" style="462" hidden="1" customWidth="1"/>
    <col min="1291" max="1291" width="14.88671875" style="462" bestFit="1" customWidth="1"/>
    <col min="1292" max="1300" width="0" style="462" hidden="1" customWidth="1"/>
    <col min="1301" max="1301" width="10.44140625" style="462" customWidth="1"/>
    <col min="1302" max="1533" width="8.88671875" style="462"/>
    <col min="1534" max="1534" width="63.5546875" style="462" bestFit="1" customWidth="1"/>
    <col min="1535" max="1535" width="10.6640625" style="462" bestFit="1" customWidth="1"/>
    <col min="1536" max="1546" width="0" style="462" hidden="1" customWidth="1"/>
    <col min="1547" max="1547" width="14.88671875" style="462" bestFit="1" customWidth="1"/>
    <col min="1548" max="1556" width="0" style="462" hidden="1" customWidth="1"/>
    <col min="1557" max="1557" width="10.44140625" style="462" customWidth="1"/>
    <col min="1558" max="1789" width="8.88671875" style="462"/>
    <col min="1790" max="1790" width="63.5546875" style="462" bestFit="1" customWidth="1"/>
    <col min="1791" max="1791" width="10.6640625" style="462" bestFit="1" customWidth="1"/>
    <col min="1792" max="1802" width="0" style="462" hidden="1" customWidth="1"/>
    <col min="1803" max="1803" width="14.88671875" style="462" bestFit="1" customWidth="1"/>
    <col min="1804" max="1812" width="0" style="462" hidden="1" customWidth="1"/>
    <col min="1813" max="1813" width="10.44140625" style="462" customWidth="1"/>
    <col min="1814" max="2045" width="8.88671875" style="462"/>
    <col min="2046" max="2046" width="63.5546875" style="462" bestFit="1" customWidth="1"/>
    <col min="2047" max="2047" width="10.6640625" style="462" bestFit="1" customWidth="1"/>
    <col min="2048" max="2058" width="0" style="462" hidden="1" customWidth="1"/>
    <col min="2059" max="2059" width="14.88671875" style="462" bestFit="1" customWidth="1"/>
    <col min="2060" max="2068" width="0" style="462" hidden="1" customWidth="1"/>
    <col min="2069" max="2069" width="10.44140625" style="462" customWidth="1"/>
    <col min="2070" max="2301" width="8.88671875" style="462"/>
    <col min="2302" max="2302" width="63.5546875" style="462" bestFit="1" customWidth="1"/>
    <col min="2303" max="2303" width="10.6640625" style="462" bestFit="1" customWidth="1"/>
    <col min="2304" max="2314" width="0" style="462" hidden="1" customWidth="1"/>
    <col min="2315" max="2315" width="14.88671875" style="462" bestFit="1" customWidth="1"/>
    <col min="2316" max="2324" width="0" style="462" hidden="1" customWidth="1"/>
    <col min="2325" max="2325" width="10.44140625" style="462" customWidth="1"/>
    <col min="2326" max="2557" width="8.88671875" style="462"/>
    <col min="2558" max="2558" width="63.5546875" style="462" bestFit="1" customWidth="1"/>
    <col min="2559" max="2559" width="10.6640625" style="462" bestFit="1" customWidth="1"/>
    <col min="2560" max="2570" width="0" style="462" hidden="1" customWidth="1"/>
    <col min="2571" max="2571" width="14.88671875" style="462" bestFit="1" customWidth="1"/>
    <col min="2572" max="2580" width="0" style="462" hidden="1" customWidth="1"/>
    <col min="2581" max="2581" width="10.44140625" style="462" customWidth="1"/>
    <col min="2582" max="2813" width="8.88671875" style="462"/>
    <col min="2814" max="2814" width="63.5546875" style="462" bestFit="1" customWidth="1"/>
    <col min="2815" max="2815" width="10.6640625" style="462" bestFit="1" customWidth="1"/>
    <col min="2816" max="2826" width="0" style="462" hidden="1" customWidth="1"/>
    <col min="2827" max="2827" width="14.88671875" style="462" bestFit="1" customWidth="1"/>
    <col min="2828" max="2836" width="0" style="462" hidden="1" customWidth="1"/>
    <col min="2837" max="2837" width="10.44140625" style="462" customWidth="1"/>
    <col min="2838" max="3069" width="8.88671875" style="462"/>
    <col min="3070" max="3070" width="63.5546875" style="462" bestFit="1" customWidth="1"/>
    <col min="3071" max="3071" width="10.6640625" style="462" bestFit="1" customWidth="1"/>
    <col min="3072" max="3082" width="0" style="462" hidden="1" customWidth="1"/>
    <col min="3083" max="3083" width="14.88671875" style="462" bestFit="1" customWidth="1"/>
    <col min="3084" max="3092" width="0" style="462" hidden="1" customWidth="1"/>
    <col min="3093" max="3093" width="10.44140625" style="462" customWidth="1"/>
    <col min="3094" max="3325" width="8.88671875" style="462"/>
    <col min="3326" max="3326" width="63.5546875" style="462" bestFit="1" customWidth="1"/>
    <col min="3327" max="3327" width="10.6640625" style="462" bestFit="1" customWidth="1"/>
    <col min="3328" max="3338" width="0" style="462" hidden="1" customWidth="1"/>
    <col min="3339" max="3339" width="14.88671875" style="462" bestFit="1" customWidth="1"/>
    <col min="3340" max="3348" width="0" style="462" hidden="1" customWidth="1"/>
    <col min="3349" max="3349" width="10.44140625" style="462" customWidth="1"/>
    <col min="3350" max="3581" width="8.88671875" style="462"/>
    <col min="3582" max="3582" width="63.5546875" style="462" bestFit="1" customWidth="1"/>
    <col min="3583" max="3583" width="10.6640625" style="462" bestFit="1" customWidth="1"/>
    <col min="3584" max="3594" width="0" style="462" hidden="1" customWidth="1"/>
    <col min="3595" max="3595" width="14.88671875" style="462" bestFit="1" customWidth="1"/>
    <col min="3596" max="3604" width="0" style="462" hidden="1" customWidth="1"/>
    <col min="3605" max="3605" width="10.44140625" style="462" customWidth="1"/>
    <col min="3606" max="3837" width="8.88671875" style="462"/>
    <col min="3838" max="3838" width="63.5546875" style="462" bestFit="1" customWidth="1"/>
    <col min="3839" max="3839" width="10.6640625" style="462" bestFit="1" customWidth="1"/>
    <col min="3840" max="3850" width="0" style="462" hidden="1" customWidth="1"/>
    <col min="3851" max="3851" width="14.88671875" style="462" bestFit="1" customWidth="1"/>
    <col min="3852" max="3860" width="0" style="462" hidden="1" customWidth="1"/>
    <col min="3861" max="3861" width="10.44140625" style="462" customWidth="1"/>
    <col min="3862" max="4093" width="8.88671875" style="462"/>
    <col min="4094" max="4094" width="63.5546875" style="462" bestFit="1" customWidth="1"/>
    <col min="4095" max="4095" width="10.6640625" style="462" bestFit="1" customWidth="1"/>
    <col min="4096" max="4106" width="0" style="462" hidden="1" customWidth="1"/>
    <col min="4107" max="4107" width="14.88671875" style="462" bestFit="1" customWidth="1"/>
    <col min="4108" max="4116" width="0" style="462" hidden="1" customWidth="1"/>
    <col min="4117" max="4117" width="10.44140625" style="462" customWidth="1"/>
    <col min="4118" max="4349" width="8.88671875" style="462"/>
    <col min="4350" max="4350" width="63.5546875" style="462" bestFit="1" customWidth="1"/>
    <col min="4351" max="4351" width="10.6640625" style="462" bestFit="1" customWidth="1"/>
    <col min="4352" max="4362" width="0" style="462" hidden="1" customWidth="1"/>
    <col min="4363" max="4363" width="14.88671875" style="462" bestFit="1" customWidth="1"/>
    <col min="4364" max="4372" width="0" style="462" hidden="1" customWidth="1"/>
    <col min="4373" max="4373" width="10.44140625" style="462" customWidth="1"/>
    <col min="4374" max="4605" width="8.88671875" style="462"/>
    <col min="4606" max="4606" width="63.5546875" style="462" bestFit="1" customWidth="1"/>
    <col min="4607" max="4607" width="10.6640625" style="462" bestFit="1" customWidth="1"/>
    <col min="4608" max="4618" width="0" style="462" hidden="1" customWidth="1"/>
    <col min="4619" max="4619" width="14.88671875" style="462" bestFit="1" customWidth="1"/>
    <col min="4620" max="4628" width="0" style="462" hidden="1" customWidth="1"/>
    <col min="4629" max="4629" width="10.44140625" style="462" customWidth="1"/>
    <col min="4630" max="4861" width="8.88671875" style="462"/>
    <col min="4862" max="4862" width="63.5546875" style="462" bestFit="1" customWidth="1"/>
    <col min="4863" max="4863" width="10.6640625" style="462" bestFit="1" customWidth="1"/>
    <col min="4864" max="4874" width="0" style="462" hidden="1" customWidth="1"/>
    <col min="4875" max="4875" width="14.88671875" style="462" bestFit="1" customWidth="1"/>
    <col min="4876" max="4884" width="0" style="462" hidden="1" customWidth="1"/>
    <col min="4885" max="4885" width="10.44140625" style="462" customWidth="1"/>
    <col min="4886" max="5117" width="8.88671875" style="462"/>
    <col min="5118" max="5118" width="63.5546875" style="462" bestFit="1" customWidth="1"/>
    <col min="5119" max="5119" width="10.6640625" style="462" bestFit="1" customWidth="1"/>
    <col min="5120" max="5130" width="0" style="462" hidden="1" customWidth="1"/>
    <col min="5131" max="5131" width="14.88671875" style="462" bestFit="1" customWidth="1"/>
    <col min="5132" max="5140" width="0" style="462" hidden="1" customWidth="1"/>
    <col min="5141" max="5141" width="10.44140625" style="462" customWidth="1"/>
    <col min="5142" max="5373" width="8.88671875" style="462"/>
    <col min="5374" max="5374" width="63.5546875" style="462" bestFit="1" customWidth="1"/>
    <col min="5375" max="5375" width="10.6640625" style="462" bestFit="1" customWidth="1"/>
    <col min="5376" max="5386" width="0" style="462" hidden="1" customWidth="1"/>
    <col min="5387" max="5387" width="14.88671875" style="462" bestFit="1" customWidth="1"/>
    <col min="5388" max="5396" width="0" style="462" hidden="1" customWidth="1"/>
    <col min="5397" max="5397" width="10.44140625" style="462" customWidth="1"/>
    <col min="5398" max="5629" width="8.88671875" style="462"/>
    <col min="5630" max="5630" width="63.5546875" style="462" bestFit="1" customWidth="1"/>
    <col min="5631" max="5631" width="10.6640625" style="462" bestFit="1" customWidth="1"/>
    <col min="5632" max="5642" width="0" style="462" hidden="1" customWidth="1"/>
    <col min="5643" max="5643" width="14.88671875" style="462" bestFit="1" customWidth="1"/>
    <col min="5644" max="5652" width="0" style="462" hidden="1" customWidth="1"/>
    <col min="5653" max="5653" width="10.44140625" style="462" customWidth="1"/>
    <col min="5654" max="5885" width="8.88671875" style="462"/>
    <col min="5886" max="5886" width="63.5546875" style="462" bestFit="1" customWidth="1"/>
    <col min="5887" max="5887" width="10.6640625" style="462" bestFit="1" customWidth="1"/>
    <col min="5888" max="5898" width="0" style="462" hidden="1" customWidth="1"/>
    <col min="5899" max="5899" width="14.88671875" style="462" bestFit="1" customWidth="1"/>
    <col min="5900" max="5908" width="0" style="462" hidden="1" customWidth="1"/>
    <col min="5909" max="5909" width="10.44140625" style="462" customWidth="1"/>
    <col min="5910" max="6141" width="8.88671875" style="462"/>
    <col min="6142" max="6142" width="63.5546875" style="462" bestFit="1" customWidth="1"/>
    <col min="6143" max="6143" width="10.6640625" style="462" bestFit="1" customWidth="1"/>
    <col min="6144" max="6154" width="0" style="462" hidden="1" customWidth="1"/>
    <col min="6155" max="6155" width="14.88671875" style="462" bestFit="1" customWidth="1"/>
    <col min="6156" max="6164" width="0" style="462" hidden="1" customWidth="1"/>
    <col min="6165" max="6165" width="10.44140625" style="462" customWidth="1"/>
    <col min="6166" max="6397" width="8.88671875" style="462"/>
    <col min="6398" max="6398" width="63.5546875" style="462" bestFit="1" customWidth="1"/>
    <col min="6399" max="6399" width="10.6640625" style="462" bestFit="1" customWidth="1"/>
    <col min="6400" max="6410" width="0" style="462" hidden="1" customWidth="1"/>
    <col min="6411" max="6411" width="14.88671875" style="462" bestFit="1" customWidth="1"/>
    <col min="6412" max="6420" width="0" style="462" hidden="1" customWidth="1"/>
    <col min="6421" max="6421" width="10.44140625" style="462" customWidth="1"/>
    <col min="6422" max="6653" width="8.88671875" style="462"/>
    <col min="6654" max="6654" width="63.5546875" style="462" bestFit="1" customWidth="1"/>
    <col min="6655" max="6655" width="10.6640625" style="462" bestFit="1" customWidth="1"/>
    <col min="6656" max="6666" width="0" style="462" hidden="1" customWidth="1"/>
    <col min="6667" max="6667" width="14.88671875" style="462" bestFit="1" customWidth="1"/>
    <col min="6668" max="6676" width="0" style="462" hidden="1" customWidth="1"/>
    <col min="6677" max="6677" width="10.44140625" style="462" customWidth="1"/>
    <col min="6678" max="6909" width="8.88671875" style="462"/>
    <col min="6910" max="6910" width="63.5546875" style="462" bestFit="1" customWidth="1"/>
    <col min="6911" max="6911" width="10.6640625" style="462" bestFit="1" customWidth="1"/>
    <col min="6912" max="6922" width="0" style="462" hidden="1" customWidth="1"/>
    <col min="6923" max="6923" width="14.88671875" style="462" bestFit="1" customWidth="1"/>
    <col min="6924" max="6932" width="0" style="462" hidden="1" customWidth="1"/>
    <col min="6933" max="6933" width="10.44140625" style="462" customWidth="1"/>
    <col min="6934" max="7165" width="8.88671875" style="462"/>
    <col min="7166" max="7166" width="63.5546875" style="462" bestFit="1" customWidth="1"/>
    <col min="7167" max="7167" width="10.6640625" style="462" bestFit="1" customWidth="1"/>
    <col min="7168" max="7178" width="0" style="462" hidden="1" customWidth="1"/>
    <col min="7179" max="7179" width="14.88671875" style="462" bestFit="1" customWidth="1"/>
    <col min="7180" max="7188" width="0" style="462" hidden="1" customWidth="1"/>
    <col min="7189" max="7189" width="10.44140625" style="462" customWidth="1"/>
    <col min="7190" max="7421" width="8.88671875" style="462"/>
    <col min="7422" max="7422" width="63.5546875" style="462" bestFit="1" customWidth="1"/>
    <col min="7423" max="7423" width="10.6640625" style="462" bestFit="1" customWidth="1"/>
    <col min="7424" max="7434" width="0" style="462" hidden="1" customWidth="1"/>
    <col min="7435" max="7435" width="14.88671875" style="462" bestFit="1" customWidth="1"/>
    <col min="7436" max="7444" width="0" style="462" hidden="1" customWidth="1"/>
    <col min="7445" max="7445" width="10.44140625" style="462" customWidth="1"/>
    <col min="7446" max="7677" width="8.88671875" style="462"/>
    <col min="7678" max="7678" width="63.5546875" style="462" bestFit="1" customWidth="1"/>
    <col min="7679" max="7679" width="10.6640625" style="462" bestFit="1" customWidth="1"/>
    <col min="7680" max="7690" width="0" style="462" hidden="1" customWidth="1"/>
    <col min="7691" max="7691" width="14.88671875" style="462" bestFit="1" customWidth="1"/>
    <col min="7692" max="7700" width="0" style="462" hidden="1" customWidth="1"/>
    <col min="7701" max="7701" width="10.44140625" style="462" customWidth="1"/>
    <col min="7702" max="7933" width="8.88671875" style="462"/>
    <col min="7934" max="7934" width="63.5546875" style="462" bestFit="1" customWidth="1"/>
    <col min="7935" max="7935" width="10.6640625" style="462" bestFit="1" customWidth="1"/>
    <col min="7936" max="7946" width="0" style="462" hidden="1" customWidth="1"/>
    <col min="7947" max="7947" width="14.88671875" style="462" bestFit="1" customWidth="1"/>
    <col min="7948" max="7956" width="0" style="462" hidden="1" customWidth="1"/>
    <col min="7957" max="7957" width="10.44140625" style="462" customWidth="1"/>
    <col min="7958" max="8189" width="8.88671875" style="462"/>
    <col min="8190" max="8190" width="63.5546875" style="462" bestFit="1" customWidth="1"/>
    <col min="8191" max="8191" width="10.6640625" style="462" bestFit="1" customWidth="1"/>
    <col min="8192" max="8202" width="0" style="462" hidden="1" customWidth="1"/>
    <col min="8203" max="8203" width="14.88671875" style="462" bestFit="1" customWidth="1"/>
    <col min="8204" max="8212" width="0" style="462" hidden="1" customWidth="1"/>
    <col min="8213" max="8213" width="10.44140625" style="462" customWidth="1"/>
    <col min="8214" max="8445" width="8.88671875" style="462"/>
    <col min="8446" max="8446" width="63.5546875" style="462" bestFit="1" customWidth="1"/>
    <col min="8447" max="8447" width="10.6640625" style="462" bestFit="1" customWidth="1"/>
    <col min="8448" max="8458" width="0" style="462" hidden="1" customWidth="1"/>
    <col min="8459" max="8459" width="14.88671875" style="462" bestFit="1" customWidth="1"/>
    <col min="8460" max="8468" width="0" style="462" hidden="1" customWidth="1"/>
    <col min="8469" max="8469" width="10.44140625" style="462" customWidth="1"/>
    <col min="8470" max="8701" width="8.88671875" style="462"/>
    <col min="8702" max="8702" width="63.5546875" style="462" bestFit="1" customWidth="1"/>
    <col min="8703" max="8703" width="10.6640625" style="462" bestFit="1" customWidth="1"/>
    <col min="8704" max="8714" width="0" style="462" hidden="1" customWidth="1"/>
    <col min="8715" max="8715" width="14.88671875" style="462" bestFit="1" customWidth="1"/>
    <col min="8716" max="8724" width="0" style="462" hidden="1" customWidth="1"/>
    <col min="8725" max="8725" width="10.44140625" style="462" customWidth="1"/>
    <col min="8726" max="8957" width="8.88671875" style="462"/>
    <col min="8958" max="8958" width="63.5546875" style="462" bestFit="1" customWidth="1"/>
    <col min="8959" max="8959" width="10.6640625" style="462" bestFit="1" customWidth="1"/>
    <col min="8960" max="8970" width="0" style="462" hidden="1" customWidth="1"/>
    <col min="8971" max="8971" width="14.88671875" style="462" bestFit="1" customWidth="1"/>
    <col min="8972" max="8980" width="0" style="462" hidden="1" customWidth="1"/>
    <col min="8981" max="8981" width="10.44140625" style="462" customWidth="1"/>
    <col min="8982" max="9213" width="8.88671875" style="462"/>
    <col min="9214" max="9214" width="63.5546875" style="462" bestFit="1" customWidth="1"/>
    <col min="9215" max="9215" width="10.6640625" style="462" bestFit="1" customWidth="1"/>
    <col min="9216" max="9226" width="0" style="462" hidden="1" customWidth="1"/>
    <col min="9227" max="9227" width="14.88671875" style="462" bestFit="1" customWidth="1"/>
    <col min="9228" max="9236" width="0" style="462" hidden="1" customWidth="1"/>
    <col min="9237" max="9237" width="10.44140625" style="462" customWidth="1"/>
    <col min="9238" max="9469" width="8.88671875" style="462"/>
    <col min="9470" max="9470" width="63.5546875" style="462" bestFit="1" customWidth="1"/>
    <col min="9471" max="9471" width="10.6640625" style="462" bestFit="1" customWidth="1"/>
    <col min="9472" max="9482" width="0" style="462" hidden="1" customWidth="1"/>
    <col min="9483" max="9483" width="14.88671875" style="462" bestFit="1" customWidth="1"/>
    <col min="9484" max="9492" width="0" style="462" hidden="1" customWidth="1"/>
    <col min="9493" max="9493" width="10.44140625" style="462" customWidth="1"/>
    <col min="9494" max="9725" width="8.88671875" style="462"/>
    <col min="9726" max="9726" width="63.5546875" style="462" bestFit="1" customWidth="1"/>
    <col min="9727" max="9727" width="10.6640625" style="462" bestFit="1" customWidth="1"/>
    <col min="9728" max="9738" width="0" style="462" hidden="1" customWidth="1"/>
    <col min="9739" max="9739" width="14.88671875" style="462" bestFit="1" customWidth="1"/>
    <col min="9740" max="9748" width="0" style="462" hidden="1" customWidth="1"/>
    <col min="9749" max="9749" width="10.44140625" style="462" customWidth="1"/>
    <col min="9750" max="9981" width="8.88671875" style="462"/>
    <col min="9982" max="9982" width="63.5546875" style="462" bestFit="1" customWidth="1"/>
    <col min="9983" max="9983" width="10.6640625" style="462" bestFit="1" customWidth="1"/>
    <col min="9984" max="9994" width="0" style="462" hidden="1" customWidth="1"/>
    <col min="9995" max="9995" width="14.88671875" style="462" bestFit="1" customWidth="1"/>
    <col min="9996" max="10004" width="0" style="462" hidden="1" customWidth="1"/>
    <col min="10005" max="10005" width="10.44140625" style="462" customWidth="1"/>
    <col min="10006" max="10237" width="8.88671875" style="462"/>
    <col min="10238" max="10238" width="63.5546875" style="462" bestFit="1" customWidth="1"/>
    <col min="10239" max="10239" width="10.6640625" style="462" bestFit="1" customWidth="1"/>
    <col min="10240" max="10250" width="0" style="462" hidden="1" customWidth="1"/>
    <col min="10251" max="10251" width="14.88671875" style="462" bestFit="1" customWidth="1"/>
    <col min="10252" max="10260" width="0" style="462" hidden="1" customWidth="1"/>
    <col min="10261" max="10261" width="10.44140625" style="462" customWidth="1"/>
    <col min="10262" max="10493" width="8.88671875" style="462"/>
    <col min="10494" max="10494" width="63.5546875" style="462" bestFit="1" customWidth="1"/>
    <col min="10495" max="10495" width="10.6640625" style="462" bestFit="1" customWidth="1"/>
    <col min="10496" max="10506" width="0" style="462" hidden="1" customWidth="1"/>
    <col min="10507" max="10507" width="14.88671875" style="462" bestFit="1" customWidth="1"/>
    <col min="10508" max="10516" width="0" style="462" hidden="1" customWidth="1"/>
    <col min="10517" max="10517" width="10.44140625" style="462" customWidth="1"/>
    <col min="10518" max="10749" width="8.88671875" style="462"/>
    <col min="10750" max="10750" width="63.5546875" style="462" bestFit="1" customWidth="1"/>
    <col min="10751" max="10751" width="10.6640625" style="462" bestFit="1" customWidth="1"/>
    <col min="10752" max="10762" width="0" style="462" hidden="1" customWidth="1"/>
    <col min="10763" max="10763" width="14.88671875" style="462" bestFit="1" customWidth="1"/>
    <col min="10764" max="10772" width="0" style="462" hidden="1" customWidth="1"/>
    <col min="10773" max="10773" width="10.44140625" style="462" customWidth="1"/>
    <col min="10774" max="11005" width="8.88671875" style="462"/>
    <col min="11006" max="11006" width="63.5546875" style="462" bestFit="1" customWidth="1"/>
    <col min="11007" max="11007" width="10.6640625" style="462" bestFit="1" customWidth="1"/>
    <col min="11008" max="11018" width="0" style="462" hidden="1" customWidth="1"/>
    <col min="11019" max="11019" width="14.88671875" style="462" bestFit="1" customWidth="1"/>
    <col min="11020" max="11028" width="0" style="462" hidden="1" customWidth="1"/>
    <col min="11029" max="11029" width="10.44140625" style="462" customWidth="1"/>
    <col min="11030" max="11261" width="8.88671875" style="462"/>
    <col min="11262" max="11262" width="63.5546875" style="462" bestFit="1" customWidth="1"/>
    <col min="11263" max="11263" width="10.6640625" style="462" bestFit="1" customWidth="1"/>
    <col min="11264" max="11274" width="0" style="462" hidden="1" customWidth="1"/>
    <col min="11275" max="11275" width="14.88671875" style="462" bestFit="1" customWidth="1"/>
    <col min="11276" max="11284" width="0" style="462" hidden="1" customWidth="1"/>
    <col min="11285" max="11285" width="10.44140625" style="462" customWidth="1"/>
    <col min="11286" max="11517" width="8.88671875" style="462"/>
    <col min="11518" max="11518" width="63.5546875" style="462" bestFit="1" customWidth="1"/>
    <col min="11519" max="11519" width="10.6640625" style="462" bestFit="1" customWidth="1"/>
    <col min="11520" max="11530" width="0" style="462" hidden="1" customWidth="1"/>
    <col min="11531" max="11531" width="14.88671875" style="462" bestFit="1" customWidth="1"/>
    <col min="11532" max="11540" width="0" style="462" hidden="1" customWidth="1"/>
    <col min="11541" max="11541" width="10.44140625" style="462" customWidth="1"/>
    <col min="11542" max="11773" width="8.88671875" style="462"/>
    <col min="11774" max="11774" width="63.5546875" style="462" bestFit="1" customWidth="1"/>
    <col min="11775" max="11775" width="10.6640625" style="462" bestFit="1" customWidth="1"/>
    <col min="11776" max="11786" width="0" style="462" hidden="1" customWidth="1"/>
    <col min="11787" max="11787" width="14.88671875" style="462" bestFit="1" customWidth="1"/>
    <col min="11788" max="11796" width="0" style="462" hidden="1" customWidth="1"/>
    <col min="11797" max="11797" width="10.44140625" style="462" customWidth="1"/>
    <col min="11798" max="12029" width="8.88671875" style="462"/>
    <col min="12030" max="12030" width="63.5546875" style="462" bestFit="1" customWidth="1"/>
    <col min="12031" max="12031" width="10.6640625" style="462" bestFit="1" customWidth="1"/>
    <col min="12032" max="12042" width="0" style="462" hidden="1" customWidth="1"/>
    <col min="12043" max="12043" width="14.88671875" style="462" bestFit="1" customWidth="1"/>
    <col min="12044" max="12052" width="0" style="462" hidden="1" customWidth="1"/>
    <col min="12053" max="12053" width="10.44140625" style="462" customWidth="1"/>
    <col min="12054" max="12285" width="8.88671875" style="462"/>
    <col min="12286" max="12286" width="63.5546875" style="462" bestFit="1" customWidth="1"/>
    <col min="12287" max="12287" width="10.6640625" style="462" bestFit="1" customWidth="1"/>
    <col min="12288" max="12298" width="0" style="462" hidden="1" customWidth="1"/>
    <col min="12299" max="12299" width="14.88671875" style="462" bestFit="1" customWidth="1"/>
    <col min="12300" max="12308" width="0" style="462" hidden="1" customWidth="1"/>
    <col min="12309" max="12309" width="10.44140625" style="462" customWidth="1"/>
    <col min="12310" max="12541" width="8.88671875" style="462"/>
    <col min="12542" max="12542" width="63.5546875" style="462" bestFit="1" customWidth="1"/>
    <col min="12543" max="12543" width="10.6640625" style="462" bestFit="1" customWidth="1"/>
    <col min="12544" max="12554" width="0" style="462" hidden="1" customWidth="1"/>
    <col min="12555" max="12555" width="14.88671875" style="462" bestFit="1" customWidth="1"/>
    <col min="12556" max="12564" width="0" style="462" hidden="1" customWidth="1"/>
    <col min="12565" max="12565" width="10.44140625" style="462" customWidth="1"/>
    <col min="12566" max="12797" width="8.88671875" style="462"/>
    <col min="12798" max="12798" width="63.5546875" style="462" bestFit="1" customWidth="1"/>
    <col min="12799" max="12799" width="10.6640625" style="462" bestFit="1" customWidth="1"/>
    <col min="12800" max="12810" width="0" style="462" hidden="1" customWidth="1"/>
    <col min="12811" max="12811" width="14.88671875" style="462" bestFit="1" customWidth="1"/>
    <col min="12812" max="12820" width="0" style="462" hidden="1" customWidth="1"/>
    <col min="12821" max="12821" width="10.44140625" style="462" customWidth="1"/>
    <col min="12822" max="13053" width="8.88671875" style="462"/>
    <col min="13054" max="13054" width="63.5546875" style="462" bestFit="1" customWidth="1"/>
    <col min="13055" max="13055" width="10.6640625" style="462" bestFit="1" customWidth="1"/>
    <col min="13056" max="13066" width="0" style="462" hidden="1" customWidth="1"/>
    <col min="13067" max="13067" width="14.88671875" style="462" bestFit="1" customWidth="1"/>
    <col min="13068" max="13076" width="0" style="462" hidden="1" customWidth="1"/>
    <col min="13077" max="13077" width="10.44140625" style="462" customWidth="1"/>
    <col min="13078" max="13309" width="8.88671875" style="462"/>
    <col min="13310" max="13310" width="63.5546875" style="462" bestFit="1" customWidth="1"/>
    <col min="13311" max="13311" width="10.6640625" style="462" bestFit="1" customWidth="1"/>
    <col min="13312" max="13322" width="0" style="462" hidden="1" customWidth="1"/>
    <col min="13323" max="13323" width="14.88671875" style="462" bestFit="1" customWidth="1"/>
    <col min="13324" max="13332" width="0" style="462" hidden="1" customWidth="1"/>
    <col min="13333" max="13333" width="10.44140625" style="462" customWidth="1"/>
    <col min="13334" max="13565" width="8.88671875" style="462"/>
    <col min="13566" max="13566" width="63.5546875" style="462" bestFit="1" customWidth="1"/>
    <col min="13567" max="13567" width="10.6640625" style="462" bestFit="1" customWidth="1"/>
    <col min="13568" max="13578" width="0" style="462" hidden="1" customWidth="1"/>
    <col min="13579" max="13579" width="14.88671875" style="462" bestFit="1" customWidth="1"/>
    <col min="13580" max="13588" width="0" style="462" hidden="1" customWidth="1"/>
    <col min="13589" max="13589" width="10.44140625" style="462" customWidth="1"/>
    <col min="13590" max="13821" width="8.88671875" style="462"/>
    <col min="13822" max="13822" width="63.5546875" style="462" bestFit="1" customWidth="1"/>
    <col min="13823" max="13823" width="10.6640625" style="462" bestFit="1" customWidth="1"/>
    <col min="13824" max="13834" width="0" style="462" hidden="1" customWidth="1"/>
    <col min="13835" max="13835" width="14.88671875" style="462" bestFit="1" customWidth="1"/>
    <col min="13836" max="13844" width="0" style="462" hidden="1" customWidth="1"/>
    <col min="13845" max="13845" width="10.44140625" style="462" customWidth="1"/>
    <col min="13846" max="14077" width="8.88671875" style="462"/>
    <col min="14078" max="14078" width="63.5546875" style="462" bestFit="1" customWidth="1"/>
    <col min="14079" max="14079" width="10.6640625" style="462" bestFit="1" customWidth="1"/>
    <col min="14080" max="14090" width="0" style="462" hidden="1" customWidth="1"/>
    <col min="14091" max="14091" width="14.88671875" style="462" bestFit="1" customWidth="1"/>
    <col min="14092" max="14100" width="0" style="462" hidden="1" customWidth="1"/>
    <col min="14101" max="14101" width="10.44140625" style="462" customWidth="1"/>
    <col min="14102" max="14333" width="8.88671875" style="462"/>
    <col min="14334" max="14334" width="63.5546875" style="462" bestFit="1" customWidth="1"/>
    <col min="14335" max="14335" width="10.6640625" style="462" bestFit="1" customWidth="1"/>
    <col min="14336" max="14346" width="0" style="462" hidden="1" customWidth="1"/>
    <col min="14347" max="14347" width="14.88671875" style="462" bestFit="1" customWidth="1"/>
    <col min="14348" max="14356" width="0" style="462" hidden="1" customWidth="1"/>
    <col min="14357" max="14357" width="10.44140625" style="462" customWidth="1"/>
    <col min="14358" max="14589" width="8.88671875" style="462"/>
    <col min="14590" max="14590" width="63.5546875" style="462" bestFit="1" customWidth="1"/>
    <col min="14591" max="14591" width="10.6640625" style="462" bestFit="1" customWidth="1"/>
    <col min="14592" max="14602" width="0" style="462" hidden="1" customWidth="1"/>
    <col min="14603" max="14603" width="14.88671875" style="462" bestFit="1" customWidth="1"/>
    <col min="14604" max="14612" width="0" style="462" hidden="1" customWidth="1"/>
    <col min="14613" max="14613" width="10.44140625" style="462" customWidth="1"/>
    <col min="14614" max="14845" width="8.88671875" style="462"/>
    <col min="14846" max="14846" width="63.5546875" style="462" bestFit="1" customWidth="1"/>
    <col min="14847" max="14847" width="10.6640625" style="462" bestFit="1" customWidth="1"/>
    <col min="14848" max="14858" width="0" style="462" hidden="1" customWidth="1"/>
    <col min="14859" max="14859" width="14.88671875" style="462" bestFit="1" customWidth="1"/>
    <col min="14860" max="14868" width="0" style="462" hidden="1" customWidth="1"/>
    <col min="14869" max="14869" width="10.44140625" style="462" customWidth="1"/>
    <col min="14870" max="15101" width="8.88671875" style="462"/>
    <col min="15102" max="15102" width="63.5546875" style="462" bestFit="1" customWidth="1"/>
    <col min="15103" max="15103" width="10.6640625" style="462" bestFit="1" customWidth="1"/>
    <col min="15104" max="15114" width="0" style="462" hidden="1" customWidth="1"/>
    <col min="15115" max="15115" width="14.88671875" style="462" bestFit="1" customWidth="1"/>
    <col min="15116" max="15124" width="0" style="462" hidden="1" customWidth="1"/>
    <col min="15125" max="15125" width="10.44140625" style="462" customWidth="1"/>
    <col min="15126" max="15357" width="8.88671875" style="462"/>
    <col min="15358" max="15358" width="63.5546875" style="462" bestFit="1" customWidth="1"/>
    <col min="15359" max="15359" width="10.6640625" style="462" bestFit="1" customWidth="1"/>
    <col min="15360" max="15370" width="0" style="462" hidden="1" customWidth="1"/>
    <col min="15371" max="15371" width="14.88671875" style="462" bestFit="1" customWidth="1"/>
    <col min="15372" max="15380" width="0" style="462" hidden="1" customWidth="1"/>
    <col min="15381" max="15381" width="10.44140625" style="462" customWidth="1"/>
    <col min="15382" max="15613" width="8.88671875" style="462"/>
    <col min="15614" max="15614" width="63.5546875" style="462" bestFit="1" customWidth="1"/>
    <col min="15615" max="15615" width="10.6640625" style="462" bestFit="1" customWidth="1"/>
    <col min="15616" max="15626" width="0" style="462" hidden="1" customWidth="1"/>
    <col min="15627" max="15627" width="14.88671875" style="462" bestFit="1" customWidth="1"/>
    <col min="15628" max="15636" width="0" style="462" hidden="1" customWidth="1"/>
    <col min="15637" max="15637" width="10.44140625" style="462" customWidth="1"/>
    <col min="15638" max="15869" width="8.88671875" style="462"/>
    <col min="15870" max="15870" width="63.5546875" style="462" bestFit="1" customWidth="1"/>
    <col min="15871" max="15871" width="10.6640625" style="462" bestFit="1" customWidth="1"/>
    <col min="15872" max="15882" width="0" style="462" hidden="1" customWidth="1"/>
    <col min="15883" max="15883" width="14.88671875" style="462" bestFit="1" customWidth="1"/>
    <col min="15884" max="15892" width="0" style="462" hidden="1" customWidth="1"/>
    <col min="15893" max="15893" width="10.44140625" style="462" customWidth="1"/>
    <col min="15894" max="16125" width="8.88671875" style="462"/>
    <col min="16126" max="16126" width="63.5546875" style="462" bestFit="1" customWidth="1"/>
    <col min="16127" max="16127" width="10.6640625" style="462" bestFit="1" customWidth="1"/>
    <col min="16128" max="16138" width="0" style="462" hidden="1" customWidth="1"/>
    <col min="16139" max="16139" width="14.88671875" style="462" bestFit="1" customWidth="1"/>
    <col min="16140" max="16148" width="0" style="462" hidden="1" customWidth="1"/>
    <col min="16149" max="16149" width="10.44140625" style="462" customWidth="1"/>
    <col min="16150" max="16381" width="8.88671875" style="462"/>
    <col min="16382" max="16384" width="12.6640625" style="462" customWidth="1"/>
  </cols>
  <sheetData>
    <row r="1" spans="1:16" s="456" customFormat="1" ht="16.2">
      <c r="A1" s="548" t="s">
        <v>302</v>
      </c>
      <c r="B1" s="549"/>
      <c r="C1" s="549"/>
      <c r="D1" s="549"/>
      <c r="E1" s="549"/>
      <c r="F1" s="549"/>
      <c r="G1" s="549"/>
      <c r="H1" s="549"/>
      <c r="I1" s="549"/>
      <c r="J1" s="549"/>
      <c r="K1" s="549"/>
      <c r="L1" s="549"/>
      <c r="M1" s="549"/>
      <c r="N1" s="549"/>
      <c r="P1" s="457"/>
    </row>
    <row r="2" spans="1:16" s="456" customFormat="1" ht="15.6">
      <c r="A2" s="550" t="s">
        <v>325</v>
      </c>
      <c r="B2" s="551"/>
      <c r="C2" s="551"/>
      <c r="D2" s="551"/>
      <c r="E2" s="551"/>
      <c r="F2" s="551"/>
      <c r="G2" s="551"/>
      <c r="H2" s="551"/>
      <c r="I2" s="551"/>
      <c r="J2" s="551"/>
      <c r="K2" s="551"/>
      <c r="L2" s="551"/>
      <c r="M2" s="551"/>
      <c r="N2" s="551"/>
      <c r="P2" s="457"/>
    </row>
    <row r="3" spans="1:16" s="456" customFormat="1" ht="15.6">
      <c r="A3" s="546" t="str">
        <f>'Fund 0888 '!R4</f>
        <v>July 2017</v>
      </c>
      <c r="B3" s="547"/>
      <c r="C3" s="547"/>
      <c r="D3" s="547"/>
      <c r="E3" s="547"/>
      <c r="F3" s="547"/>
      <c r="G3" s="547"/>
      <c r="H3" s="547"/>
      <c r="I3" s="547"/>
      <c r="J3" s="547"/>
      <c r="K3" s="547"/>
      <c r="L3" s="547"/>
      <c r="M3" s="547"/>
      <c r="N3" s="547"/>
      <c r="P3" s="457"/>
    </row>
    <row r="4" spans="1:16" s="456" customFormat="1">
      <c r="A4" s="458"/>
      <c r="B4" s="451"/>
      <c r="C4" s="451"/>
      <c r="D4" s="451"/>
      <c r="E4" s="451"/>
      <c r="F4" s="451"/>
      <c r="G4" s="451"/>
      <c r="H4" s="459"/>
      <c r="I4" s="459"/>
      <c r="J4" s="459"/>
      <c r="K4" s="437"/>
      <c r="L4" s="437"/>
      <c r="M4" s="437"/>
      <c r="N4" s="437"/>
      <c r="P4" s="457"/>
    </row>
    <row r="5" spans="1:16" ht="15.6">
      <c r="A5" s="122"/>
      <c r="B5" s="107"/>
      <c r="C5" s="107"/>
      <c r="D5" s="107"/>
      <c r="E5" s="107"/>
      <c r="F5" s="107"/>
      <c r="G5" s="107"/>
      <c r="H5" s="124"/>
      <c r="I5" s="124"/>
      <c r="J5" s="124"/>
      <c r="K5" s="107"/>
      <c r="L5" s="107"/>
      <c r="M5" s="107"/>
      <c r="N5" s="107"/>
    </row>
    <row r="6" spans="1:16" ht="15.6">
      <c r="A6" s="122"/>
      <c r="B6" s="518"/>
      <c r="C6" s="518"/>
      <c r="D6" s="518"/>
      <c r="E6" s="518"/>
      <c r="F6" s="518"/>
      <c r="G6" s="518"/>
      <c r="H6" s="518"/>
      <c r="I6" s="518"/>
      <c r="J6" s="518"/>
      <c r="K6" s="518"/>
      <c r="L6" s="518"/>
      <c r="M6" s="518"/>
      <c r="N6" s="518" t="str">
        <f>'Fund 0888 '!N6</f>
        <v>FY 2017 YTD</v>
      </c>
    </row>
    <row r="7" spans="1:16" s="464" customFormat="1" ht="16.2" thickBot="1">
      <c r="A7" s="123"/>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c r="P7" s="463"/>
    </row>
    <row r="8" spans="1:16" ht="16.2" thickTop="1">
      <c r="A8" s="122"/>
      <c r="B8" s="107"/>
      <c r="C8" s="107"/>
      <c r="D8" s="107"/>
      <c r="E8" s="107"/>
      <c r="F8" s="107"/>
      <c r="G8" s="107"/>
      <c r="H8" s="124"/>
      <c r="I8" s="125"/>
      <c r="J8" s="125"/>
      <c r="K8" s="107"/>
      <c r="L8" s="107"/>
      <c r="M8" s="107"/>
      <c r="N8" s="107"/>
    </row>
    <row r="9" spans="1:16" ht="16.2" thickBot="1">
      <c r="A9" s="487"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row>
    <row r="10" spans="1:16" ht="15.6">
      <c r="A10" s="122"/>
      <c r="B10" s="107"/>
      <c r="C10" s="107"/>
      <c r="D10" s="107"/>
      <c r="E10" s="107"/>
      <c r="F10" s="107"/>
      <c r="G10" s="107"/>
      <c r="H10" s="124"/>
      <c r="I10" s="124"/>
      <c r="J10" s="124"/>
      <c r="K10" s="107"/>
      <c r="L10" s="107"/>
      <c r="M10" s="107"/>
      <c r="N10" s="107"/>
    </row>
    <row r="11" spans="1:16" ht="15.6">
      <c r="A11" s="106" t="s">
        <v>299</v>
      </c>
      <c r="B11" s="107"/>
      <c r="C11" s="107"/>
      <c r="D11" s="107"/>
      <c r="E11" s="107"/>
      <c r="F11" s="107"/>
      <c r="G11" s="107"/>
      <c r="H11" s="124"/>
      <c r="I11" s="124"/>
      <c r="J11" s="124"/>
      <c r="K11" s="107"/>
      <c r="L11" s="107"/>
      <c r="M11" s="107"/>
      <c r="N11" s="107"/>
    </row>
    <row r="12" spans="1:16" ht="15.6">
      <c r="A12" s="122"/>
      <c r="B12" s="107"/>
      <c r="C12" s="107"/>
      <c r="D12" s="107"/>
      <c r="E12" s="107"/>
      <c r="F12" s="107"/>
      <c r="G12" s="107"/>
      <c r="H12" s="124"/>
      <c r="I12" s="124"/>
      <c r="J12" s="124"/>
      <c r="K12" s="107"/>
      <c r="L12" s="107"/>
      <c r="M12" s="107"/>
      <c r="N12" s="107"/>
    </row>
    <row r="13" spans="1:16" s="467" customFormat="1" ht="15.6">
      <c r="A13" s="134" t="s">
        <v>326</v>
      </c>
      <c r="B13" s="135">
        <v>5229.87</v>
      </c>
      <c r="C13" s="136">
        <v>61847.009999999995</v>
      </c>
      <c r="D13" s="135">
        <v>55978.36</v>
      </c>
      <c r="E13" s="135">
        <v>54152.05</v>
      </c>
      <c r="F13" s="135">
        <v>54917.69</v>
      </c>
      <c r="G13" s="135">
        <v>51435.829999999994</v>
      </c>
      <c r="H13" s="135">
        <v>48964.46</v>
      </c>
      <c r="I13" s="135">
        <v>160718</v>
      </c>
      <c r="J13" s="135">
        <v>65782.52</v>
      </c>
      <c r="K13" s="135">
        <v>78664.14</v>
      </c>
      <c r="L13" s="135">
        <v>63068.95</v>
      </c>
      <c r="M13" s="135"/>
      <c r="N13" s="121">
        <f t="shared" ref="N13" si="1">ROUND(SUM(B13:M13),0)</f>
        <v>700759</v>
      </c>
      <c r="P13" s="468"/>
    </row>
    <row r="14" spans="1:16" ht="15.6">
      <c r="A14" s="122"/>
      <c r="B14" s="107"/>
      <c r="C14" s="107"/>
      <c r="D14" s="107"/>
      <c r="E14" s="107"/>
      <c r="F14" s="107"/>
      <c r="G14" s="107"/>
      <c r="H14" s="124"/>
      <c r="I14" s="124"/>
      <c r="J14" s="124"/>
      <c r="K14" s="107"/>
      <c r="L14" s="107"/>
      <c r="M14" s="107"/>
      <c r="N14" s="107"/>
    </row>
    <row r="15" spans="1:16" ht="15.6">
      <c r="A15" s="122"/>
      <c r="B15" s="107"/>
      <c r="C15" s="107"/>
      <c r="D15" s="107"/>
      <c r="E15" s="107"/>
      <c r="F15" s="107"/>
      <c r="G15" s="107"/>
      <c r="H15" s="124"/>
      <c r="I15" s="124"/>
      <c r="J15" s="124"/>
      <c r="K15" s="107"/>
      <c r="L15" s="107"/>
      <c r="M15" s="107"/>
      <c r="N15" s="107"/>
    </row>
    <row r="16" spans="1:16" ht="15.6">
      <c r="A16" s="108" t="s">
        <v>294</v>
      </c>
      <c r="B16" s="116">
        <f>ROUND((SUM(B13:B15)),0)</f>
        <v>5230</v>
      </c>
      <c r="C16" s="116">
        <f>ROUND((SUM(C13:C15)),0)</f>
        <v>61847</v>
      </c>
      <c r="D16" s="116">
        <f>ROUND((SUM(D13:D15)),0)</f>
        <v>55978</v>
      </c>
      <c r="E16" s="116">
        <f>ROUND((SUM(E13:E15)),0)</f>
        <v>54152</v>
      </c>
      <c r="F16" s="116">
        <f>ROUND((SUM(F13:F15)),0)</f>
        <v>54918</v>
      </c>
      <c r="G16" s="116">
        <f>ROUND((SUM(G13:G15)),0)</f>
        <v>51436</v>
      </c>
      <c r="H16" s="116">
        <f>ROUND((SUM(H13:H15)),0)</f>
        <v>48964</v>
      </c>
      <c r="I16" s="116">
        <f>ROUND((SUM(I13:I15)),0)</f>
        <v>160718</v>
      </c>
      <c r="J16" s="116">
        <f>ROUND((SUM(J13:J15)),0)</f>
        <v>65783</v>
      </c>
      <c r="K16" s="116">
        <f>ROUND((SUM(K13:K15)),0)</f>
        <v>78664</v>
      </c>
      <c r="L16" s="116">
        <f>ROUND((SUM(L13:L15)),0)</f>
        <v>63069</v>
      </c>
      <c r="M16" s="116">
        <f>ROUND((SUM(M13:M15)),0)</f>
        <v>0</v>
      </c>
      <c r="N16" s="116">
        <f>ROUND((SUM(N13:N15)),0)</f>
        <v>700759</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0" t="s">
        <v>327</v>
      </c>
      <c r="B20" s="107">
        <f t="shared" ref="B20:M20" si="2">ROUND(-B16,0)</f>
        <v>-5230</v>
      </c>
      <c r="C20" s="107">
        <f t="shared" si="2"/>
        <v>-61847</v>
      </c>
      <c r="D20" s="107">
        <f t="shared" si="2"/>
        <v>-55978</v>
      </c>
      <c r="E20" s="107">
        <f t="shared" si="2"/>
        <v>-54152</v>
      </c>
      <c r="F20" s="107">
        <f t="shared" si="2"/>
        <v>-54918</v>
      </c>
      <c r="G20" s="107">
        <f t="shared" si="2"/>
        <v>-51436</v>
      </c>
      <c r="H20" s="107">
        <f t="shared" si="2"/>
        <v>-48964</v>
      </c>
      <c r="I20" s="107">
        <f t="shared" si="2"/>
        <v>-160718</v>
      </c>
      <c r="J20" s="107">
        <f t="shared" si="2"/>
        <v>-65783</v>
      </c>
      <c r="K20" s="107">
        <f t="shared" si="2"/>
        <v>-78664</v>
      </c>
      <c r="L20" s="107">
        <f t="shared" si="2"/>
        <v>-63069</v>
      </c>
      <c r="M20" s="107">
        <f t="shared" si="2"/>
        <v>0</v>
      </c>
      <c r="N20" s="107">
        <f>ROUND(SUM(B20:M20),0)</f>
        <v>-700759</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ROUND(SUM(B19:B22),0)</f>
        <v>-5230</v>
      </c>
      <c r="C23" s="116">
        <f>ROUND(SUM(C19:C22),0)</f>
        <v>-61847</v>
      </c>
      <c r="D23" s="116">
        <f>ROUND(SUM(D19:D22),0)</f>
        <v>-55978</v>
      </c>
      <c r="E23" s="116">
        <f>ROUND(SUM(E19:E22),0)</f>
        <v>-54152</v>
      </c>
      <c r="F23" s="116">
        <f>ROUND(SUM(F19:F22),0)</f>
        <v>-54918</v>
      </c>
      <c r="G23" s="116">
        <f t="shared" ref="G23:N23" si="3">SUM(G19:G22)</f>
        <v>-51436</v>
      </c>
      <c r="H23" s="116">
        <f t="shared" si="3"/>
        <v>-48964</v>
      </c>
      <c r="I23" s="116">
        <f t="shared" si="3"/>
        <v>-160718</v>
      </c>
      <c r="J23" s="116">
        <f t="shared" si="3"/>
        <v>-65783</v>
      </c>
      <c r="K23" s="116">
        <f t="shared" si="3"/>
        <v>-78664</v>
      </c>
      <c r="L23" s="116">
        <f t="shared" si="3"/>
        <v>-63069</v>
      </c>
      <c r="M23" s="116">
        <f t="shared" si="3"/>
        <v>0</v>
      </c>
      <c r="N23" s="116">
        <f t="shared" si="3"/>
        <v>-700759</v>
      </c>
    </row>
    <row r="24" spans="1:14" ht="15.6">
      <c r="A24" s="122"/>
      <c r="B24" s="107"/>
      <c r="C24" s="107"/>
      <c r="D24" s="107"/>
      <c r="E24" s="107"/>
      <c r="F24" s="107"/>
      <c r="G24" s="107"/>
      <c r="H24" s="130"/>
      <c r="I24" s="130"/>
      <c r="J24" s="130"/>
      <c r="K24" s="107"/>
      <c r="L24" s="107"/>
      <c r="M24" s="107"/>
      <c r="N24" s="107"/>
    </row>
    <row r="25" spans="1:14" ht="16.2" thickBot="1">
      <c r="A25" s="487" t="s">
        <v>290</v>
      </c>
      <c r="B25" s="496">
        <f>ROUND(+B9+B16+B23,0)</f>
        <v>0</v>
      </c>
      <c r="C25" s="496">
        <f>ROUND(+C9+C16+C23,0)</f>
        <v>0</v>
      </c>
      <c r="D25" s="496">
        <f>ROUND(+D9+D16+D23,0)</f>
        <v>0</v>
      </c>
      <c r="E25" s="496">
        <f>ROUND(+E9+E16+E23,0)</f>
        <v>0</v>
      </c>
      <c r="F25" s="496">
        <f>ROUND(+F9+F16+F23,0)</f>
        <v>0</v>
      </c>
      <c r="G25" s="496">
        <f>ROUND(+G9+G16+G23,0)</f>
        <v>0</v>
      </c>
      <c r="H25" s="496">
        <f>ROUND(+H9+H16+H23,0)</f>
        <v>0</v>
      </c>
      <c r="I25" s="496">
        <f>ROUND(+I9+I16+I23,0)</f>
        <v>0</v>
      </c>
      <c r="J25" s="496">
        <f>ROUND(+J9+J16+J23,0)</f>
        <v>0</v>
      </c>
      <c r="K25" s="496">
        <f>ROUND(+K9+K16+K23,0)</f>
        <v>0</v>
      </c>
      <c r="L25" s="496">
        <f>ROUND(+L9+L16+L23,0)</f>
        <v>0</v>
      </c>
      <c r="M25" s="496">
        <f>ROUND(+M9+M16+M23,0)</f>
        <v>0</v>
      </c>
      <c r="N25" s="496">
        <f>ROUND(+N9+N16+N23,0)</f>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328</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33"/>
      <c r="D32" s="101"/>
      <c r="E32" s="101"/>
      <c r="F32" s="101"/>
      <c r="G32" s="101"/>
      <c r="H32" s="101"/>
      <c r="I32" s="101"/>
      <c r="J32" s="101"/>
      <c r="K32" s="101"/>
      <c r="L32" s="101"/>
      <c r="M32" s="101"/>
      <c r="N32" s="101"/>
    </row>
    <row r="33" spans="1:14" ht="15.6">
      <c r="A33" s="132"/>
      <c r="B33" s="101"/>
      <c r="C33" s="133"/>
      <c r="D33" s="101"/>
      <c r="E33" s="101"/>
      <c r="F33" s="101"/>
      <c r="G33" s="101"/>
      <c r="H33" s="101"/>
      <c r="I33" s="101"/>
      <c r="J33" s="101"/>
      <c r="K33" s="101"/>
      <c r="L33" s="101"/>
      <c r="M33" s="101"/>
      <c r="N33" s="101"/>
    </row>
    <row r="34" spans="1:14" ht="15.6">
      <c r="A34" s="132"/>
      <c r="B34" s="101"/>
      <c r="C34" s="133"/>
      <c r="D34" s="101"/>
      <c r="E34" s="101"/>
      <c r="F34" s="101"/>
      <c r="G34" s="101"/>
      <c r="H34" s="101"/>
      <c r="I34" s="101"/>
      <c r="J34" s="101"/>
      <c r="K34" s="101"/>
      <c r="L34" s="101"/>
      <c r="M34" s="101"/>
      <c r="N34" s="101"/>
    </row>
    <row r="35" spans="1:14">
      <c r="C35" s="466"/>
    </row>
    <row r="36" spans="1:14">
      <c r="C36" s="466"/>
    </row>
    <row r="37" spans="1:14">
      <c r="C37" s="466"/>
    </row>
    <row r="38" spans="1:14">
      <c r="C38" s="466"/>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N30"/>
  <sheetViews>
    <sheetView zoomScale="85" zoomScaleNormal="85" zoomScaleSheetLayoutView="85" workbookViewId="0">
      <selection activeCell="M4" sqref="M1:M1048576"/>
    </sheetView>
  </sheetViews>
  <sheetFormatPr defaultRowHeight="13.2"/>
  <cols>
    <col min="1" max="1" width="51.109375" style="470" bestFit="1" customWidth="1"/>
    <col min="2" max="2" width="11.33203125" style="452" hidden="1" customWidth="1"/>
    <col min="3" max="3" width="11.44140625" style="452" hidden="1" customWidth="1"/>
    <col min="4" max="4" width="11.77734375" style="452" hidden="1" customWidth="1"/>
    <col min="5" max="5" width="11.6640625" style="452" hidden="1" customWidth="1"/>
    <col min="6" max="6" width="11.33203125" style="452" hidden="1" customWidth="1"/>
    <col min="7" max="7" width="11.6640625" style="452" hidden="1" customWidth="1"/>
    <col min="8" max="8" width="12.109375" style="452" hidden="1" customWidth="1"/>
    <col min="9" max="9" width="11.6640625" style="452" hidden="1" customWidth="1"/>
    <col min="10" max="10" width="12.109375" style="452" hidden="1" customWidth="1"/>
    <col min="11" max="11" width="11.44140625" style="452" hidden="1" customWidth="1"/>
    <col min="12" max="12" width="11.109375" style="452" bestFit="1" customWidth="1"/>
    <col min="13" max="13" width="11.77734375" style="452" hidden="1" customWidth="1"/>
    <col min="14" max="14" width="15.6640625" style="452" bestFit="1" customWidth="1"/>
    <col min="15" max="18" width="22.21875" style="470" customWidth="1"/>
    <col min="19" max="20" width="12.6640625" style="470" customWidth="1"/>
    <col min="21" max="21" width="13.33203125" style="470" customWidth="1"/>
    <col min="22" max="253" width="8.88671875" style="470"/>
    <col min="254" max="254" width="46.21875" style="470" bestFit="1" customWidth="1"/>
    <col min="255" max="255" width="9.6640625" style="470" bestFit="1" customWidth="1"/>
    <col min="256" max="266" width="0" style="470" hidden="1" customWidth="1"/>
    <col min="267" max="267" width="17.44140625" style="470" customWidth="1"/>
    <col min="268" max="276" width="0" style="470" hidden="1" customWidth="1"/>
    <col min="277" max="509" width="8.88671875" style="470"/>
    <col min="510" max="510" width="46.21875" style="470" bestFit="1" customWidth="1"/>
    <col min="511" max="511" width="9.6640625" style="470" bestFit="1" customWidth="1"/>
    <col min="512" max="522" width="0" style="470" hidden="1" customWidth="1"/>
    <col min="523" max="523" width="17.44140625" style="470" customWidth="1"/>
    <col min="524" max="532" width="0" style="470" hidden="1" customWidth="1"/>
    <col min="533" max="765" width="8.88671875" style="470"/>
    <col min="766" max="766" width="46.21875" style="470" bestFit="1" customWidth="1"/>
    <col min="767" max="767" width="9.6640625" style="470" bestFit="1" customWidth="1"/>
    <col min="768" max="778" width="0" style="470" hidden="1" customWidth="1"/>
    <col min="779" max="779" width="17.44140625" style="470" customWidth="1"/>
    <col min="780" max="788" width="0" style="470" hidden="1" customWidth="1"/>
    <col min="789" max="1021" width="8.88671875" style="470"/>
    <col min="1022" max="1022" width="46.21875" style="470" bestFit="1" customWidth="1"/>
    <col min="1023" max="1023" width="9.6640625" style="470" bestFit="1" customWidth="1"/>
    <col min="1024" max="1034" width="0" style="470" hidden="1" customWidth="1"/>
    <col min="1035" max="1035" width="17.44140625" style="470" customWidth="1"/>
    <col min="1036" max="1044" width="0" style="470" hidden="1" customWidth="1"/>
    <col min="1045" max="1277" width="8.88671875" style="470"/>
    <col min="1278" max="1278" width="46.21875" style="470" bestFit="1" customWidth="1"/>
    <col min="1279" max="1279" width="9.6640625" style="470" bestFit="1" customWidth="1"/>
    <col min="1280" max="1290" width="0" style="470" hidden="1" customWidth="1"/>
    <col min="1291" max="1291" width="17.44140625" style="470" customWidth="1"/>
    <col min="1292" max="1300" width="0" style="470" hidden="1" customWidth="1"/>
    <col min="1301" max="1533" width="8.88671875" style="470"/>
    <col min="1534" max="1534" width="46.21875" style="470" bestFit="1" customWidth="1"/>
    <col min="1535" max="1535" width="9.6640625" style="470" bestFit="1" customWidth="1"/>
    <col min="1536" max="1546" width="0" style="470" hidden="1" customWidth="1"/>
    <col min="1547" max="1547" width="17.44140625" style="470" customWidth="1"/>
    <col min="1548" max="1556" width="0" style="470" hidden="1" customWidth="1"/>
    <col min="1557" max="1789" width="8.88671875" style="470"/>
    <col min="1790" max="1790" width="46.21875" style="470" bestFit="1" customWidth="1"/>
    <col min="1791" max="1791" width="9.6640625" style="470" bestFit="1" customWidth="1"/>
    <col min="1792" max="1802" width="0" style="470" hidden="1" customWidth="1"/>
    <col min="1803" max="1803" width="17.44140625" style="470" customWidth="1"/>
    <col min="1804" max="1812" width="0" style="470" hidden="1" customWidth="1"/>
    <col min="1813" max="2045" width="8.88671875" style="470"/>
    <col min="2046" max="2046" width="46.21875" style="470" bestFit="1" customWidth="1"/>
    <col min="2047" max="2047" width="9.6640625" style="470" bestFit="1" customWidth="1"/>
    <col min="2048" max="2058" width="0" style="470" hidden="1" customWidth="1"/>
    <col min="2059" max="2059" width="17.44140625" style="470" customWidth="1"/>
    <col min="2060" max="2068" width="0" style="470" hidden="1" customWidth="1"/>
    <col min="2069" max="2301" width="8.88671875" style="470"/>
    <col min="2302" max="2302" width="46.21875" style="470" bestFit="1" customWidth="1"/>
    <col min="2303" max="2303" width="9.6640625" style="470" bestFit="1" customWidth="1"/>
    <col min="2304" max="2314" width="0" style="470" hidden="1" customWidth="1"/>
    <col min="2315" max="2315" width="17.44140625" style="470" customWidth="1"/>
    <col min="2316" max="2324" width="0" style="470" hidden="1" customWidth="1"/>
    <col min="2325" max="2557" width="8.88671875" style="470"/>
    <col min="2558" max="2558" width="46.21875" style="470" bestFit="1" customWidth="1"/>
    <col min="2559" max="2559" width="9.6640625" style="470" bestFit="1" customWidth="1"/>
    <col min="2560" max="2570" width="0" style="470" hidden="1" customWidth="1"/>
    <col min="2571" max="2571" width="17.44140625" style="470" customWidth="1"/>
    <col min="2572" max="2580" width="0" style="470" hidden="1" customWidth="1"/>
    <col min="2581" max="2813" width="8.88671875" style="470"/>
    <col min="2814" max="2814" width="46.21875" style="470" bestFit="1" customWidth="1"/>
    <col min="2815" max="2815" width="9.6640625" style="470" bestFit="1" customWidth="1"/>
    <col min="2816" max="2826" width="0" style="470" hidden="1" customWidth="1"/>
    <col min="2827" max="2827" width="17.44140625" style="470" customWidth="1"/>
    <col min="2828" max="2836" width="0" style="470" hidden="1" customWidth="1"/>
    <col min="2837" max="3069" width="8.88671875" style="470"/>
    <col min="3070" max="3070" width="46.21875" style="470" bestFit="1" customWidth="1"/>
    <col min="3071" max="3071" width="9.6640625" style="470" bestFit="1" customWidth="1"/>
    <col min="3072" max="3082" width="0" style="470" hidden="1" customWidth="1"/>
    <col min="3083" max="3083" width="17.44140625" style="470" customWidth="1"/>
    <col min="3084" max="3092" width="0" style="470" hidden="1" customWidth="1"/>
    <col min="3093" max="3325" width="8.88671875" style="470"/>
    <col min="3326" max="3326" width="46.21875" style="470" bestFit="1" customWidth="1"/>
    <col min="3327" max="3327" width="9.6640625" style="470" bestFit="1" customWidth="1"/>
    <col min="3328" max="3338" width="0" style="470" hidden="1" customWidth="1"/>
    <col min="3339" max="3339" width="17.44140625" style="470" customWidth="1"/>
    <col min="3340" max="3348" width="0" style="470" hidden="1" customWidth="1"/>
    <col min="3349" max="3581" width="8.88671875" style="470"/>
    <col min="3582" max="3582" width="46.21875" style="470" bestFit="1" customWidth="1"/>
    <col min="3583" max="3583" width="9.6640625" style="470" bestFit="1" customWidth="1"/>
    <col min="3584" max="3594" width="0" style="470" hidden="1" customWidth="1"/>
    <col min="3595" max="3595" width="17.44140625" style="470" customWidth="1"/>
    <col min="3596" max="3604" width="0" style="470" hidden="1" customWidth="1"/>
    <col min="3605" max="3837" width="8.88671875" style="470"/>
    <col min="3838" max="3838" width="46.21875" style="470" bestFit="1" customWidth="1"/>
    <col min="3839" max="3839" width="9.6640625" style="470" bestFit="1" customWidth="1"/>
    <col min="3840" max="3850" width="0" style="470" hidden="1" customWidth="1"/>
    <col min="3851" max="3851" width="17.44140625" style="470" customWidth="1"/>
    <col min="3852" max="3860" width="0" style="470" hidden="1" customWidth="1"/>
    <col min="3861" max="4093" width="8.88671875" style="470"/>
    <col min="4094" max="4094" width="46.21875" style="470" bestFit="1" customWidth="1"/>
    <col min="4095" max="4095" width="9.6640625" style="470" bestFit="1" customWidth="1"/>
    <col min="4096" max="4106" width="0" style="470" hidden="1" customWidth="1"/>
    <col min="4107" max="4107" width="17.44140625" style="470" customWidth="1"/>
    <col min="4108" max="4116" width="0" style="470" hidden="1" customWidth="1"/>
    <col min="4117" max="4349" width="8.88671875" style="470"/>
    <col min="4350" max="4350" width="46.21875" style="470" bestFit="1" customWidth="1"/>
    <col min="4351" max="4351" width="9.6640625" style="470" bestFit="1" customWidth="1"/>
    <col min="4352" max="4362" width="0" style="470" hidden="1" customWidth="1"/>
    <col min="4363" max="4363" width="17.44140625" style="470" customWidth="1"/>
    <col min="4364" max="4372" width="0" style="470" hidden="1" customWidth="1"/>
    <col min="4373" max="4605" width="8.88671875" style="470"/>
    <col min="4606" max="4606" width="46.21875" style="470" bestFit="1" customWidth="1"/>
    <col min="4607" max="4607" width="9.6640625" style="470" bestFit="1" customWidth="1"/>
    <col min="4608" max="4618" width="0" style="470" hidden="1" customWidth="1"/>
    <col min="4619" max="4619" width="17.44140625" style="470" customWidth="1"/>
    <col min="4620" max="4628" width="0" style="470" hidden="1" customWidth="1"/>
    <col min="4629" max="4861" width="8.88671875" style="470"/>
    <col min="4862" max="4862" width="46.21875" style="470" bestFit="1" customWidth="1"/>
    <col min="4863" max="4863" width="9.6640625" style="470" bestFit="1" customWidth="1"/>
    <col min="4864" max="4874" width="0" style="470" hidden="1" customWidth="1"/>
    <col min="4875" max="4875" width="17.44140625" style="470" customWidth="1"/>
    <col min="4876" max="4884" width="0" style="470" hidden="1" customWidth="1"/>
    <col min="4885" max="5117" width="8.88671875" style="470"/>
    <col min="5118" max="5118" width="46.21875" style="470" bestFit="1" customWidth="1"/>
    <col min="5119" max="5119" width="9.6640625" style="470" bestFit="1" customWidth="1"/>
    <col min="5120" max="5130" width="0" style="470" hidden="1" customWidth="1"/>
    <col min="5131" max="5131" width="17.44140625" style="470" customWidth="1"/>
    <col min="5132" max="5140" width="0" style="470" hidden="1" customWidth="1"/>
    <col min="5141" max="5373" width="8.88671875" style="470"/>
    <col min="5374" max="5374" width="46.21875" style="470" bestFit="1" customWidth="1"/>
    <col min="5375" max="5375" width="9.6640625" style="470" bestFit="1" customWidth="1"/>
    <col min="5376" max="5386" width="0" style="470" hidden="1" customWidth="1"/>
    <col min="5387" max="5387" width="17.44140625" style="470" customWidth="1"/>
    <col min="5388" max="5396" width="0" style="470" hidden="1" customWidth="1"/>
    <col min="5397" max="5629" width="8.88671875" style="470"/>
    <col min="5630" max="5630" width="46.21875" style="470" bestFit="1" customWidth="1"/>
    <col min="5631" max="5631" width="9.6640625" style="470" bestFit="1" customWidth="1"/>
    <col min="5632" max="5642" width="0" style="470" hidden="1" customWidth="1"/>
    <col min="5643" max="5643" width="17.44140625" style="470" customWidth="1"/>
    <col min="5644" max="5652" width="0" style="470" hidden="1" customWidth="1"/>
    <col min="5653" max="5885" width="8.88671875" style="470"/>
    <col min="5886" max="5886" width="46.21875" style="470" bestFit="1" customWidth="1"/>
    <col min="5887" max="5887" width="9.6640625" style="470" bestFit="1" customWidth="1"/>
    <col min="5888" max="5898" width="0" style="470" hidden="1" customWidth="1"/>
    <col min="5899" max="5899" width="17.44140625" style="470" customWidth="1"/>
    <col min="5900" max="5908" width="0" style="470" hidden="1" customWidth="1"/>
    <col min="5909" max="6141" width="8.88671875" style="470"/>
    <col min="6142" max="6142" width="46.21875" style="470" bestFit="1" customWidth="1"/>
    <col min="6143" max="6143" width="9.6640625" style="470" bestFit="1" customWidth="1"/>
    <col min="6144" max="6154" width="0" style="470" hidden="1" customWidth="1"/>
    <col min="6155" max="6155" width="17.44140625" style="470" customWidth="1"/>
    <col min="6156" max="6164" width="0" style="470" hidden="1" customWidth="1"/>
    <col min="6165" max="6397" width="8.88671875" style="470"/>
    <col min="6398" max="6398" width="46.21875" style="470" bestFit="1" customWidth="1"/>
    <col min="6399" max="6399" width="9.6640625" style="470" bestFit="1" customWidth="1"/>
    <col min="6400" max="6410" width="0" style="470" hidden="1" customWidth="1"/>
    <col min="6411" max="6411" width="17.44140625" style="470" customWidth="1"/>
    <col min="6412" max="6420" width="0" style="470" hidden="1" customWidth="1"/>
    <col min="6421" max="6653" width="8.88671875" style="470"/>
    <col min="6654" max="6654" width="46.21875" style="470" bestFit="1" customWidth="1"/>
    <col min="6655" max="6655" width="9.6640625" style="470" bestFit="1" customWidth="1"/>
    <col min="6656" max="6666" width="0" style="470" hidden="1" customWidth="1"/>
    <col min="6667" max="6667" width="17.44140625" style="470" customWidth="1"/>
    <col min="6668" max="6676" width="0" style="470" hidden="1" customWidth="1"/>
    <col min="6677" max="6909" width="8.88671875" style="470"/>
    <col min="6910" max="6910" width="46.21875" style="470" bestFit="1" customWidth="1"/>
    <col min="6911" max="6911" width="9.6640625" style="470" bestFit="1" customWidth="1"/>
    <col min="6912" max="6922" width="0" style="470" hidden="1" customWidth="1"/>
    <col min="6923" max="6923" width="17.44140625" style="470" customWidth="1"/>
    <col min="6924" max="6932" width="0" style="470" hidden="1" customWidth="1"/>
    <col min="6933" max="7165" width="8.88671875" style="470"/>
    <col min="7166" max="7166" width="46.21875" style="470" bestFit="1" customWidth="1"/>
    <col min="7167" max="7167" width="9.6640625" style="470" bestFit="1" customWidth="1"/>
    <col min="7168" max="7178" width="0" style="470" hidden="1" customWidth="1"/>
    <col min="7179" max="7179" width="17.44140625" style="470" customWidth="1"/>
    <col min="7180" max="7188" width="0" style="470" hidden="1" customWidth="1"/>
    <col min="7189" max="7421" width="8.88671875" style="470"/>
    <col min="7422" max="7422" width="46.21875" style="470" bestFit="1" customWidth="1"/>
    <col min="7423" max="7423" width="9.6640625" style="470" bestFit="1" customWidth="1"/>
    <col min="7424" max="7434" width="0" style="470" hidden="1" customWidth="1"/>
    <col min="7435" max="7435" width="17.44140625" style="470" customWidth="1"/>
    <col min="7436" max="7444" width="0" style="470" hidden="1" customWidth="1"/>
    <col min="7445" max="7677" width="8.88671875" style="470"/>
    <col min="7678" max="7678" width="46.21875" style="470" bestFit="1" customWidth="1"/>
    <col min="7679" max="7679" width="9.6640625" style="470" bestFit="1" customWidth="1"/>
    <col min="7680" max="7690" width="0" style="470" hidden="1" customWidth="1"/>
    <col min="7691" max="7691" width="17.44140625" style="470" customWidth="1"/>
    <col min="7692" max="7700" width="0" style="470" hidden="1" customWidth="1"/>
    <col min="7701" max="7933" width="8.88671875" style="470"/>
    <col min="7934" max="7934" width="46.21875" style="470" bestFit="1" customWidth="1"/>
    <col min="7935" max="7935" width="9.6640625" style="470" bestFit="1" customWidth="1"/>
    <col min="7936" max="7946" width="0" style="470" hidden="1" customWidth="1"/>
    <col min="7947" max="7947" width="17.44140625" style="470" customWidth="1"/>
    <col min="7948" max="7956" width="0" style="470" hidden="1" customWidth="1"/>
    <col min="7957" max="8189" width="8.88671875" style="470"/>
    <col min="8190" max="8190" width="46.21875" style="470" bestFit="1" customWidth="1"/>
    <col min="8191" max="8191" width="9.6640625" style="470" bestFit="1" customWidth="1"/>
    <col min="8192" max="8202" width="0" style="470" hidden="1" customWidth="1"/>
    <col min="8203" max="8203" width="17.44140625" style="470" customWidth="1"/>
    <col min="8204" max="8212" width="0" style="470" hidden="1" customWidth="1"/>
    <col min="8213" max="8445" width="8.88671875" style="470"/>
    <col min="8446" max="8446" width="46.21875" style="470" bestFit="1" customWidth="1"/>
    <col min="8447" max="8447" width="9.6640625" style="470" bestFit="1" customWidth="1"/>
    <col min="8448" max="8458" width="0" style="470" hidden="1" customWidth="1"/>
    <col min="8459" max="8459" width="17.44140625" style="470" customWidth="1"/>
    <col min="8460" max="8468" width="0" style="470" hidden="1" customWidth="1"/>
    <col min="8469" max="8701" width="8.88671875" style="470"/>
    <col min="8702" max="8702" width="46.21875" style="470" bestFit="1" customWidth="1"/>
    <col min="8703" max="8703" width="9.6640625" style="470" bestFit="1" customWidth="1"/>
    <col min="8704" max="8714" width="0" style="470" hidden="1" customWidth="1"/>
    <col min="8715" max="8715" width="17.44140625" style="470" customWidth="1"/>
    <col min="8716" max="8724" width="0" style="470" hidden="1" customWidth="1"/>
    <col min="8725" max="8957" width="8.88671875" style="470"/>
    <col min="8958" max="8958" width="46.21875" style="470" bestFit="1" customWidth="1"/>
    <col min="8959" max="8959" width="9.6640625" style="470" bestFit="1" customWidth="1"/>
    <col min="8960" max="8970" width="0" style="470" hidden="1" customWidth="1"/>
    <col min="8971" max="8971" width="17.44140625" style="470" customWidth="1"/>
    <col min="8972" max="8980" width="0" style="470" hidden="1" customWidth="1"/>
    <col min="8981" max="9213" width="8.88671875" style="470"/>
    <col min="9214" max="9214" width="46.21875" style="470" bestFit="1" customWidth="1"/>
    <col min="9215" max="9215" width="9.6640625" style="470" bestFit="1" customWidth="1"/>
    <col min="9216" max="9226" width="0" style="470" hidden="1" customWidth="1"/>
    <col min="9227" max="9227" width="17.44140625" style="470" customWidth="1"/>
    <col min="9228" max="9236" width="0" style="470" hidden="1" customWidth="1"/>
    <col min="9237" max="9469" width="8.88671875" style="470"/>
    <col min="9470" max="9470" width="46.21875" style="470" bestFit="1" customWidth="1"/>
    <col min="9471" max="9471" width="9.6640625" style="470" bestFit="1" customWidth="1"/>
    <col min="9472" max="9482" width="0" style="470" hidden="1" customWidth="1"/>
    <col min="9483" max="9483" width="17.44140625" style="470" customWidth="1"/>
    <col min="9484" max="9492" width="0" style="470" hidden="1" customWidth="1"/>
    <col min="9493" max="9725" width="8.88671875" style="470"/>
    <col min="9726" max="9726" width="46.21875" style="470" bestFit="1" customWidth="1"/>
    <col min="9727" max="9727" width="9.6640625" style="470" bestFit="1" customWidth="1"/>
    <col min="9728" max="9738" width="0" style="470" hidden="1" customWidth="1"/>
    <col min="9739" max="9739" width="17.44140625" style="470" customWidth="1"/>
    <col min="9740" max="9748" width="0" style="470" hidden="1" customWidth="1"/>
    <col min="9749" max="9981" width="8.88671875" style="470"/>
    <col min="9982" max="9982" width="46.21875" style="470" bestFit="1" customWidth="1"/>
    <col min="9983" max="9983" width="9.6640625" style="470" bestFit="1" customWidth="1"/>
    <col min="9984" max="9994" width="0" style="470" hidden="1" customWidth="1"/>
    <col min="9995" max="9995" width="17.44140625" style="470" customWidth="1"/>
    <col min="9996" max="10004" width="0" style="470" hidden="1" customWidth="1"/>
    <col min="10005" max="10237" width="8.88671875" style="470"/>
    <col min="10238" max="10238" width="46.21875" style="470" bestFit="1" customWidth="1"/>
    <col min="10239" max="10239" width="9.6640625" style="470" bestFit="1" customWidth="1"/>
    <col min="10240" max="10250" width="0" style="470" hidden="1" customWidth="1"/>
    <col min="10251" max="10251" width="17.44140625" style="470" customWidth="1"/>
    <col min="10252" max="10260" width="0" style="470" hidden="1" customWidth="1"/>
    <col min="10261" max="10493" width="8.88671875" style="470"/>
    <col min="10494" max="10494" width="46.21875" style="470" bestFit="1" customWidth="1"/>
    <col min="10495" max="10495" width="9.6640625" style="470" bestFit="1" customWidth="1"/>
    <col min="10496" max="10506" width="0" style="470" hidden="1" customWidth="1"/>
    <col min="10507" max="10507" width="17.44140625" style="470" customWidth="1"/>
    <col min="10508" max="10516" width="0" style="470" hidden="1" customWidth="1"/>
    <col min="10517" max="10749" width="8.88671875" style="470"/>
    <col min="10750" max="10750" width="46.21875" style="470" bestFit="1" customWidth="1"/>
    <col min="10751" max="10751" width="9.6640625" style="470" bestFit="1" customWidth="1"/>
    <col min="10752" max="10762" width="0" style="470" hidden="1" customWidth="1"/>
    <col min="10763" max="10763" width="17.44140625" style="470" customWidth="1"/>
    <col min="10764" max="10772" width="0" style="470" hidden="1" customWidth="1"/>
    <col min="10773" max="11005" width="8.88671875" style="470"/>
    <col min="11006" max="11006" width="46.21875" style="470" bestFit="1" customWidth="1"/>
    <col min="11007" max="11007" width="9.6640625" style="470" bestFit="1" customWidth="1"/>
    <col min="11008" max="11018" width="0" style="470" hidden="1" customWidth="1"/>
    <col min="11019" max="11019" width="17.44140625" style="470" customWidth="1"/>
    <col min="11020" max="11028" width="0" style="470" hidden="1" customWidth="1"/>
    <col min="11029" max="11261" width="8.88671875" style="470"/>
    <col min="11262" max="11262" width="46.21875" style="470" bestFit="1" customWidth="1"/>
    <col min="11263" max="11263" width="9.6640625" style="470" bestFit="1" customWidth="1"/>
    <col min="11264" max="11274" width="0" style="470" hidden="1" customWidth="1"/>
    <col min="11275" max="11275" width="17.44140625" style="470" customWidth="1"/>
    <col min="11276" max="11284" width="0" style="470" hidden="1" customWidth="1"/>
    <col min="11285" max="11517" width="8.88671875" style="470"/>
    <col min="11518" max="11518" width="46.21875" style="470" bestFit="1" customWidth="1"/>
    <col min="11519" max="11519" width="9.6640625" style="470" bestFit="1" customWidth="1"/>
    <col min="11520" max="11530" width="0" style="470" hidden="1" customWidth="1"/>
    <col min="11531" max="11531" width="17.44140625" style="470" customWidth="1"/>
    <col min="11532" max="11540" width="0" style="470" hidden="1" customWidth="1"/>
    <col min="11541" max="11773" width="8.88671875" style="470"/>
    <col min="11774" max="11774" width="46.21875" style="470" bestFit="1" customWidth="1"/>
    <col min="11775" max="11775" width="9.6640625" style="470" bestFit="1" customWidth="1"/>
    <col min="11776" max="11786" width="0" style="470" hidden="1" customWidth="1"/>
    <col min="11787" max="11787" width="17.44140625" style="470" customWidth="1"/>
    <col min="11788" max="11796" width="0" style="470" hidden="1" customWidth="1"/>
    <col min="11797" max="12029" width="8.88671875" style="470"/>
    <col min="12030" max="12030" width="46.21875" style="470" bestFit="1" customWidth="1"/>
    <col min="12031" max="12031" width="9.6640625" style="470" bestFit="1" customWidth="1"/>
    <col min="12032" max="12042" width="0" style="470" hidden="1" customWidth="1"/>
    <col min="12043" max="12043" width="17.44140625" style="470" customWidth="1"/>
    <col min="12044" max="12052" width="0" style="470" hidden="1" customWidth="1"/>
    <col min="12053" max="12285" width="8.88671875" style="470"/>
    <col min="12286" max="12286" width="46.21875" style="470" bestFit="1" customWidth="1"/>
    <col min="12287" max="12287" width="9.6640625" style="470" bestFit="1" customWidth="1"/>
    <col min="12288" max="12298" width="0" style="470" hidden="1" customWidth="1"/>
    <col min="12299" max="12299" width="17.44140625" style="470" customWidth="1"/>
    <col min="12300" max="12308" width="0" style="470" hidden="1" customWidth="1"/>
    <col min="12309" max="12541" width="8.88671875" style="470"/>
    <col min="12542" max="12542" width="46.21875" style="470" bestFit="1" customWidth="1"/>
    <col min="12543" max="12543" width="9.6640625" style="470" bestFit="1" customWidth="1"/>
    <col min="12544" max="12554" width="0" style="470" hidden="1" customWidth="1"/>
    <col min="12555" max="12555" width="17.44140625" style="470" customWidth="1"/>
    <col min="12556" max="12564" width="0" style="470" hidden="1" customWidth="1"/>
    <col min="12565" max="12797" width="8.88671875" style="470"/>
    <col min="12798" max="12798" width="46.21875" style="470" bestFit="1" customWidth="1"/>
    <col min="12799" max="12799" width="9.6640625" style="470" bestFit="1" customWidth="1"/>
    <col min="12800" max="12810" width="0" style="470" hidden="1" customWidth="1"/>
    <col min="12811" max="12811" width="17.44140625" style="470" customWidth="1"/>
    <col min="12812" max="12820" width="0" style="470" hidden="1" customWidth="1"/>
    <col min="12821" max="13053" width="8.88671875" style="470"/>
    <col min="13054" max="13054" width="46.21875" style="470" bestFit="1" customWidth="1"/>
    <col min="13055" max="13055" width="9.6640625" style="470" bestFit="1" customWidth="1"/>
    <col min="13056" max="13066" width="0" style="470" hidden="1" customWidth="1"/>
    <col min="13067" max="13067" width="17.44140625" style="470" customWidth="1"/>
    <col min="13068" max="13076" width="0" style="470" hidden="1" customWidth="1"/>
    <col min="13077" max="13309" width="8.88671875" style="470"/>
    <col min="13310" max="13310" width="46.21875" style="470" bestFit="1" customWidth="1"/>
    <col min="13311" max="13311" width="9.6640625" style="470" bestFit="1" customWidth="1"/>
    <col min="13312" max="13322" width="0" style="470" hidden="1" customWidth="1"/>
    <col min="13323" max="13323" width="17.44140625" style="470" customWidth="1"/>
    <col min="13324" max="13332" width="0" style="470" hidden="1" customWidth="1"/>
    <col min="13333" max="13565" width="8.88671875" style="470"/>
    <col min="13566" max="13566" width="46.21875" style="470" bestFit="1" customWidth="1"/>
    <col min="13567" max="13567" width="9.6640625" style="470" bestFit="1" customWidth="1"/>
    <col min="13568" max="13578" width="0" style="470" hidden="1" customWidth="1"/>
    <col min="13579" max="13579" width="17.44140625" style="470" customWidth="1"/>
    <col min="13580" max="13588" width="0" style="470" hidden="1" customWidth="1"/>
    <col min="13589" max="13821" width="8.88671875" style="470"/>
    <col min="13822" max="13822" width="46.21875" style="470" bestFit="1" customWidth="1"/>
    <col min="13823" max="13823" width="9.6640625" style="470" bestFit="1" customWidth="1"/>
    <col min="13824" max="13834" width="0" style="470" hidden="1" customWidth="1"/>
    <col min="13835" max="13835" width="17.44140625" style="470" customWidth="1"/>
    <col min="13836" max="13844" width="0" style="470" hidden="1" customWidth="1"/>
    <col min="13845" max="14077" width="8.88671875" style="470"/>
    <col min="14078" max="14078" width="46.21875" style="470" bestFit="1" customWidth="1"/>
    <col min="14079" max="14079" width="9.6640625" style="470" bestFit="1" customWidth="1"/>
    <col min="14080" max="14090" width="0" style="470" hidden="1" customWidth="1"/>
    <col min="14091" max="14091" width="17.44140625" style="470" customWidth="1"/>
    <col min="14092" max="14100" width="0" style="470" hidden="1" customWidth="1"/>
    <col min="14101" max="14333" width="8.88671875" style="470"/>
    <col min="14334" max="14334" width="46.21875" style="470" bestFit="1" customWidth="1"/>
    <col min="14335" max="14335" width="9.6640625" style="470" bestFit="1" customWidth="1"/>
    <col min="14336" max="14346" width="0" style="470" hidden="1" customWidth="1"/>
    <col min="14347" max="14347" width="17.44140625" style="470" customWidth="1"/>
    <col min="14348" max="14356" width="0" style="470" hidden="1" customWidth="1"/>
    <col min="14357" max="14589" width="8.88671875" style="470"/>
    <col min="14590" max="14590" width="46.21875" style="470" bestFit="1" customWidth="1"/>
    <col min="14591" max="14591" width="9.6640625" style="470" bestFit="1" customWidth="1"/>
    <col min="14592" max="14602" width="0" style="470" hidden="1" customWidth="1"/>
    <col min="14603" max="14603" width="17.44140625" style="470" customWidth="1"/>
    <col min="14604" max="14612" width="0" style="470" hidden="1" customWidth="1"/>
    <col min="14613" max="14845" width="8.88671875" style="470"/>
    <col min="14846" max="14846" width="46.21875" style="470" bestFit="1" customWidth="1"/>
    <col min="14847" max="14847" width="9.6640625" style="470" bestFit="1" customWidth="1"/>
    <col min="14848" max="14858" width="0" style="470" hidden="1" customWidth="1"/>
    <col min="14859" max="14859" width="17.44140625" style="470" customWidth="1"/>
    <col min="14860" max="14868" width="0" style="470" hidden="1" customWidth="1"/>
    <col min="14869" max="15101" width="8.88671875" style="470"/>
    <col min="15102" max="15102" width="46.21875" style="470" bestFit="1" customWidth="1"/>
    <col min="15103" max="15103" width="9.6640625" style="470" bestFit="1" customWidth="1"/>
    <col min="15104" max="15114" width="0" style="470" hidden="1" customWidth="1"/>
    <col min="15115" max="15115" width="17.44140625" style="470" customWidth="1"/>
    <col min="15116" max="15124" width="0" style="470" hidden="1" customWidth="1"/>
    <col min="15125" max="15357" width="8.88671875" style="470"/>
    <col min="15358" max="15358" width="46.21875" style="470" bestFit="1" customWidth="1"/>
    <col min="15359" max="15359" width="9.6640625" style="470" bestFit="1" customWidth="1"/>
    <col min="15360" max="15370" width="0" style="470" hidden="1" customWidth="1"/>
    <col min="15371" max="15371" width="17.44140625" style="470" customWidth="1"/>
    <col min="15372" max="15380" width="0" style="470" hidden="1" customWidth="1"/>
    <col min="15381" max="15613" width="8.88671875" style="470"/>
    <col min="15614" max="15614" width="46.21875" style="470" bestFit="1" customWidth="1"/>
    <col min="15615" max="15615" width="9.6640625" style="470" bestFit="1" customWidth="1"/>
    <col min="15616" max="15626" width="0" style="470" hidden="1" customWidth="1"/>
    <col min="15627" max="15627" width="17.44140625" style="470" customWidth="1"/>
    <col min="15628" max="15636" width="0" style="470" hidden="1" customWidth="1"/>
    <col min="15637" max="15869" width="8.88671875" style="470"/>
    <col min="15870" max="15870" width="46.21875" style="470" bestFit="1" customWidth="1"/>
    <col min="15871" max="15871" width="9.6640625" style="470" bestFit="1" customWidth="1"/>
    <col min="15872" max="15882" width="0" style="470" hidden="1" customWidth="1"/>
    <col min="15883" max="15883" width="17.44140625" style="470" customWidth="1"/>
    <col min="15884" max="15892" width="0" style="470" hidden="1" customWidth="1"/>
    <col min="15893" max="16125" width="8.88671875" style="470"/>
    <col min="16126" max="16126" width="46.21875" style="470" bestFit="1" customWidth="1"/>
    <col min="16127" max="16127" width="9.6640625" style="470" bestFit="1" customWidth="1"/>
    <col min="16128" max="16138" width="0" style="470" hidden="1" customWidth="1"/>
    <col min="16139" max="16139" width="17.44140625" style="470" customWidth="1"/>
    <col min="16140" max="16148" width="0" style="470" hidden="1" customWidth="1"/>
    <col min="16149" max="16381" width="8.88671875" style="470"/>
    <col min="16382" max="16384" width="12.6640625" style="470" customWidth="1"/>
  </cols>
  <sheetData>
    <row r="1" spans="1:14" s="469" customFormat="1" ht="16.2">
      <c r="A1" s="548" t="s">
        <v>302</v>
      </c>
      <c r="B1" s="549"/>
      <c r="C1" s="549"/>
      <c r="D1" s="549"/>
      <c r="E1" s="549"/>
      <c r="F1" s="549"/>
      <c r="G1" s="549"/>
      <c r="H1" s="549"/>
      <c r="I1" s="549"/>
      <c r="J1" s="549"/>
      <c r="K1" s="549"/>
      <c r="L1" s="549"/>
      <c r="M1" s="549"/>
      <c r="N1" s="549"/>
    </row>
    <row r="2" spans="1:14" s="469" customFormat="1" ht="15.6">
      <c r="A2" s="550" t="s">
        <v>329</v>
      </c>
      <c r="B2" s="551"/>
      <c r="C2" s="551"/>
      <c r="D2" s="551"/>
      <c r="E2" s="551"/>
      <c r="F2" s="551"/>
      <c r="G2" s="551"/>
      <c r="H2" s="551"/>
      <c r="I2" s="551"/>
      <c r="J2" s="551"/>
      <c r="K2" s="551"/>
      <c r="L2" s="551"/>
      <c r="M2" s="551"/>
      <c r="N2" s="551"/>
    </row>
    <row r="3" spans="1:14" s="469" customFormat="1" ht="15.6">
      <c r="A3" s="546" t="str">
        <f>'Fund 0888 '!R4</f>
        <v>July 2017</v>
      </c>
      <c r="B3" s="547"/>
      <c r="C3" s="547"/>
      <c r="D3" s="547"/>
      <c r="E3" s="547"/>
      <c r="F3" s="547"/>
      <c r="G3" s="547"/>
      <c r="H3" s="547"/>
      <c r="I3" s="547"/>
      <c r="J3" s="547"/>
      <c r="K3" s="547"/>
      <c r="L3" s="547"/>
      <c r="M3" s="547"/>
      <c r="N3" s="547"/>
    </row>
    <row r="4" spans="1:14" s="469" customFormat="1">
      <c r="A4" s="458"/>
      <c r="B4" s="451"/>
      <c r="C4" s="451"/>
      <c r="D4" s="451"/>
      <c r="E4" s="451"/>
      <c r="F4" s="451"/>
      <c r="G4" s="451"/>
      <c r="H4" s="459"/>
      <c r="I4" s="459"/>
      <c r="J4" s="459"/>
      <c r="K4" s="437"/>
      <c r="L4" s="437"/>
      <c r="M4" s="437"/>
      <c r="N4" s="437"/>
    </row>
    <row r="5" spans="1:14">
      <c r="A5" s="460"/>
      <c r="B5" s="451"/>
      <c r="C5" s="451"/>
      <c r="D5" s="451"/>
      <c r="E5" s="451"/>
      <c r="F5" s="451"/>
      <c r="G5" s="451"/>
      <c r="H5" s="461"/>
      <c r="I5" s="461"/>
      <c r="J5" s="461"/>
      <c r="K5" s="451"/>
      <c r="L5" s="451"/>
      <c r="M5" s="451"/>
      <c r="N5" s="451"/>
    </row>
    <row r="6" spans="1:14" ht="15.6">
      <c r="A6" s="122"/>
      <c r="B6" s="518"/>
      <c r="C6" s="518"/>
      <c r="D6" s="518"/>
      <c r="E6" s="518"/>
      <c r="F6" s="518"/>
      <c r="G6" s="518"/>
      <c r="H6" s="518"/>
      <c r="I6" s="518"/>
      <c r="J6" s="518"/>
      <c r="K6" s="518"/>
      <c r="L6" s="518"/>
      <c r="M6" s="518"/>
      <c r="N6" s="518" t="str">
        <f>'Fund 0888 '!N6</f>
        <v>FY 2017 YTD</v>
      </c>
    </row>
    <row r="7" spans="1:14" s="471" customFormat="1" ht="16.2" thickBot="1">
      <c r="A7" s="123"/>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row>
    <row r="8" spans="1:14" ht="16.2" thickTop="1">
      <c r="A8" s="122"/>
      <c r="B8" s="107"/>
      <c r="C8" s="107"/>
      <c r="D8" s="107"/>
      <c r="E8" s="107"/>
      <c r="F8" s="107"/>
      <c r="G8" s="107"/>
      <c r="H8" s="124"/>
      <c r="I8" s="125"/>
      <c r="J8" s="125"/>
      <c r="K8" s="107"/>
      <c r="L8" s="107"/>
      <c r="M8" s="107"/>
      <c r="N8" s="107"/>
    </row>
    <row r="9" spans="1:14" ht="16.2" thickBot="1">
      <c r="A9" s="487"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row>
    <row r="10" spans="1:14" ht="15.6">
      <c r="A10" s="122"/>
      <c r="B10" s="107"/>
      <c r="C10" s="107"/>
      <c r="D10" s="107"/>
      <c r="E10" s="107"/>
      <c r="F10" s="107"/>
      <c r="G10" s="107"/>
      <c r="H10" s="124"/>
      <c r="I10" s="124"/>
      <c r="J10" s="124"/>
      <c r="K10" s="107"/>
      <c r="L10" s="107"/>
      <c r="M10" s="107"/>
      <c r="N10" s="107"/>
    </row>
    <row r="11" spans="1:14" ht="15.6">
      <c r="A11" s="106" t="s">
        <v>299</v>
      </c>
      <c r="B11" s="107"/>
      <c r="C11" s="107"/>
      <c r="D11" s="107"/>
      <c r="E11" s="107"/>
      <c r="F11" s="107"/>
      <c r="G11" s="107"/>
      <c r="H11" s="124"/>
      <c r="I11" s="124"/>
      <c r="J11" s="124"/>
      <c r="K11" s="107"/>
      <c r="L11" s="107"/>
      <c r="M11" s="107"/>
      <c r="N11" s="107"/>
    </row>
    <row r="12" spans="1:14" ht="15.6">
      <c r="A12" s="122"/>
      <c r="B12" s="107"/>
      <c r="C12" s="107"/>
      <c r="D12" s="107"/>
      <c r="E12" s="107"/>
      <c r="F12" s="107"/>
      <c r="G12" s="107"/>
      <c r="H12" s="124"/>
      <c r="I12" s="124"/>
      <c r="J12" s="124"/>
      <c r="K12" s="107"/>
      <c r="L12" s="107"/>
      <c r="M12" s="107"/>
      <c r="N12" s="107"/>
    </row>
    <row r="13" spans="1:14" ht="15.6">
      <c r="A13" s="122" t="s">
        <v>330</v>
      </c>
      <c r="B13" s="107">
        <v>654.5</v>
      </c>
      <c r="C13" s="107">
        <v>362.99</v>
      </c>
      <c r="D13" s="107">
        <v>484.59</v>
      </c>
      <c r="E13" s="107">
        <v>608.65</v>
      </c>
      <c r="F13" s="129">
        <v>705.83</v>
      </c>
      <c r="G13" s="107">
        <v>516.97</v>
      </c>
      <c r="H13" s="107">
        <v>381.32</v>
      </c>
      <c r="I13" s="107">
        <v>453</v>
      </c>
      <c r="J13" s="107">
        <v>443.66</v>
      </c>
      <c r="K13" s="107">
        <v>678.32</v>
      </c>
      <c r="L13" s="107"/>
      <c r="M13" s="107"/>
      <c r="N13" s="107">
        <f>ROUND(SUM(B13:M13),0)</f>
        <v>5290</v>
      </c>
    </row>
    <row r="14" spans="1:14" ht="15.6">
      <c r="A14" s="122"/>
      <c r="B14" s="107"/>
      <c r="C14" s="107"/>
      <c r="D14" s="107"/>
      <c r="E14" s="107"/>
      <c r="F14" s="107"/>
      <c r="G14" s="107"/>
      <c r="H14" s="107"/>
      <c r="I14" s="107"/>
      <c r="J14" s="107"/>
      <c r="K14" s="107"/>
      <c r="L14" s="107"/>
      <c r="M14" s="107"/>
      <c r="N14" s="107"/>
    </row>
    <row r="15" spans="1:14" ht="15.6">
      <c r="A15" s="122"/>
      <c r="B15" s="107"/>
      <c r="C15" s="107"/>
      <c r="D15" s="107"/>
      <c r="E15" s="107"/>
      <c r="F15" s="107"/>
      <c r="G15" s="107"/>
      <c r="H15" s="124"/>
      <c r="I15" s="124"/>
      <c r="J15" s="124"/>
      <c r="K15" s="107"/>
      <c r="L15" s="107"/>
      <c r="M15" s="107"/>
      <c r="N15" s="107"/>
    </row>
    <row r="16" spans="1:14" ht="15.6">
      <c r="A16" s="108" t="s">
        <v>294</v>
      </c>
      <c r="B16" s="116">
        <f t="shared" ref="B16:J16" si="1">SUM(B8:B15)</f>
        <v>654.5</v>
      </c>
      <c r="C16" s="116">
        <f t="shared" si="1"/>
        <v>362.99</v>
      </c>
      <c r="D16" s="116">
        <f t="shared" si="1"/>
        <v>484.59</v>
      </c>
      <c r="E16" s="116">
        <f t="shared" si="1"/>
        <v>608.65</v>
      </c>
      <c r="F16" s="116">
        <f t="shared" si="1"/>
        <v>705.83</v>
      </c>
      <c r="G16" s="116">
        <f t="shared" si="1"/>
        <v>516.97</v>
      </c>
      <c r="H16" s="116">
        <f t="shared" si="1"/>
        <v>381.32</v>
      </c>
      <c r="I16" s="116">
        <f t="shared" si="1"/>
        <v>453</v>
      </c>
      <c r="J16" s="116">
        <f t="shared" si="1"/>
        <v>443.66</v>
      </c>
      <c r="K16" s="116">
        <f>ROUND((SUM(K8:K15)),0)</f>
        <v>678</v>
      </c>
      <c r="L16" s="116">
        <f>ROUND((SUM(L8:L15)),0)</f>
        <v>0</v>
      </c>
      <c r="M16" s="116">
        <f>ROUND((SUM(M8:M15)),0)</f>
        <v>0</v>
      </c>
      <c r="N16" s="116">
        <f>SUM(B16:M16)</f>
        <v>5289.51</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6" t="s">
        <v>331</v>
      </c>
      <c r="B20" s="107">
        <f t="shared" ref="B20:J20" si="2">-B16</f>
        <v>-654.5</v>
      </c>
      <c r="C20" s="107">
        <f t="shared" si="2"/>
        <v>-362.99</v>
      </c>
      <c r="D20" s="107">
        <f t="shared" si="2"/>
        <v>-484.59</v>
      </c>
      <c r="E20" s="107">
        <f t="shared" si="2"/>
        <v>-608.65</v>
      </c>
      <c r="F20" s="107">
        <f t="shared" si="2"/>
        <v>-705.83</v>
      </c>
      <c r="G20" s="107">
        <f t="shared" si="2"/>
        <v>-516.97</v>
      </c>
      <c r="H20" s="107">
        <f t="shared" si="2"/>
        <v>-381.32</v>
      </c>
      <c r="I20" s="107">
        <f t="shared" si="2"/>
        <v>-453</v>
      </c>
      <c r="J20" s="107">
        <f t="shared" si="2"/>
        <v>-443.66</v>
      </c>
      <c r="K20" s="107">
        <f>ROUND(-K16,0)</f>
        <v>-678</v>
      </c>
      <c r="L20" s="107">
        <f>ROUND(-L16,0)</f>
        <v>0</v>
      </c>
      <c r="M20" s="107">
        <f>ROUND(-M16,0)</f>
        <v>0</v>
      </c>
      <c r="N20" s="107">
        <f>ROUND(SUM(B20:M20),0)</f>
        <v>-5290</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 t="shared" ref="B23:N23" si="3">SUM(B19:B22)</f>
        <v>-654.5</v>
      </c>
      <c r="C23" s="116">
        <f t="shared" si="3"/>
        <v>-362.99</v>
      </c>
      <c r="D23" s="116">
        <f t="shared" si="3"/>
        <v>-484.59</v>
      </c>
      <c r="E23" s="116">
        <f t="shared" si="3"/>
        <v>-608.65</v>
      </c>
      <c r="F23" s="116">
        <f t="shared" si="3"/>
        <v>-705.83</v>
      </c>
      <c r="G23" s="116">
        <f t="shared" si="3"/>
        <v>-516.97</v>
      </c>
      <c r="H23" s="116">
        <f t="shared" si="3"/>
        <v>-381.32</v>
      </c>
      <c r="I23" s="116">
        <f t="shared" si="3"/>
        <v>-453</v>
      </c>
      <c r="J23" s="116">
        <f t="shared" si="3"/>
        <v>-443.66</v>
      </c>
      <c r="K23" s="116">
        <f t="shared" si="3"/>
        <v>-678</v>
      </c>
      <c r="L23" s="116">
        <f t="shared" si="3"/>
        <v>0</v>
      </c>
      <c r="M23" s="116">
        <f t="shared" si="3"/>
        <v>0</v>
      </c>
      <c r="N23" s="116">
        <f t="shared" si="3"/>
        <v>-5290</v>
      </c>
    </row>
    <row r="24" spans="1:14" ht="15.6">
      <c r="A24" s="122"/>
      <c r="B24" s="107"/>
      <c r="C24" s="107"/>
      <c r="D24" s="107"/>
      <c r="E24" s="107"/>
      <c r="F24" s="107"/>
      <c r="G24" s="107"/>
      <c r="H24" s="130"/>
      <c r="I24" s="130"/>
      <c r="J24" s="130"/>
      <c r="K24" s="107"/>
      <c r="L24" s="107"/>
      <c r="M24" s="107"/>
      <c r="N24" s="107"/>
    </row>
    <row r="25" spans="1:14" ht="16.2" thickBot="1">
      <c r="A25" s="487" t="s">
        <v>290</v>
      </c>
      <c r="B25" s="496">
        <f t="shared" ref="B25:M25" si="4">+B9+B16+B23</f>
        <v>0</v>
      </c>
      <c r="C25" s="496">
        <f t="shared" si="4"/>
        <v>0</v>
      </c>
      <c r="D25" s="496">
        <f t="shared" si="4"/>
        <v>0</v>
      </c>
      <c r="E25" s="496">
        <f t="shared" si="4"/>
        <v>0</v>
      </c>
      <c r="F25" s="496">
        <f t="shared" si="4"/>
        <v>0</v>
      </c>
      <c r="G25" s="496">
        <f t="shared" si="4"/>
        <v>0</v>
      </c>
      <c r="H25" s="496">
        <f t="shared" si="4"/>
        <v>0</v>
      </c>
      <c r="I25" s="496">
        <f t="shared" si="4"/>
        <v>0</v>
      </c>
      <c r="J25" s="496">
        <f t="shared" si="4"/>
        <v>0</v>
      </c>
      <c r="K25" s="496">
        <f t="shared" si="4"/>
        <v>0</v>
      </c>
      <c r="L25" s="496">
        <f t="shared" si="4"/>
        <v>0</v>
      </c>
      <c r="M25" s="496">
        <f t="shared" si="4"/>
        <v>0</v>
      </c>
      <c r="N25" s="496">
        <f>ROUND((+N9+N16+N23),0)</f>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332</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N45"/>
  <sheetViews>
    <sheetView zoomScale="85" zoomScaleNormal="85" zoomScaleSheetLayoutView="85" workbookViewId="0">
      <selection activeCell="P25" sqref="P25"/>
    </sheetView>
  </sheetViews>
  <sheetFormatPr defaultRowHeight="13.2"/>
  <cols>
    <col min="1" max="1" width="62.5546875" style="462" bestFit="1" customWidth="1"/>
    <col min="2" max="2" width="11.33203125" style="445" hidden="1" customWidth="1"/>
    <col min="3" max="3" width="11.44140625" style="445" hidden="1" customWidth="1"/>
    <col min="4" max="4" width="11.77734375" style="445" hidden="1" customWidth="1"/>
    <col min="5" max="5" width="11.6640625" style="445" hidden="1" customWidth="1"/>
    <col min="6" max="6" width="11.33203125" style="445" hidden="1" customWidth="1"/>
    <col min="7" max="7" width="11.6640625" style="445" hidden="1" customWidth="1"/>
    <col min="8" max="8" width="12.109375" style="445" hidden="1" customWidth="1"/>
    <col min="9" max="9" width="11.6640625" style="445" hidden="1" customWidth="1"/>
    <col min="10" max="10" width="12.109375" style="445" hidden="1" customWidth="1"/>
    <col min="11" max="11" width="11.44140625" style="445" hidden="1" customWidth="1"/>
    <col min="12" max="12" width="11.109375" style="445" bestFit="1" customWidth="1"/>
    <col min="13" max="13" width="11.77734375" style="445" hidden="1" customWidth="1"/>
    <col min="14" max="14" width="15.6640625" style="445" bestFit="1" customWidth="1"/>
    <col min="15" max="17" width="22.21875" style="462" customWidth="1"/>
    <col min="18" max="18" width="4.88671875" style="462" customWidth="1"/>
    <col min="19" max="21" width="13.33203125" style="462" customWidth="1"/>
    <col min="22" max="253" width="8.88671875" style="462"/>
    <col min="254" max="254" width="56.21875" style="462" bestFit="1" customWidth="1"/>
    <col min="255" max="255" width="14.109375" style="462" customWidth="1"/>
    <col min="256" max="266" width="0" style="462" hidden="1" customWidth="1"/>
    <col min="267" max="267" width="16.33203125" style="462" customWidth="1"/>
    <col min="268" max="273" width="0" style="462" hidden="1" customWidth="1"/>
    <col min="274" max="274" width="4.88671875" style="462" customWidth="1"/>
    <col min="275" max="509" width="8.88671875" style="462"/>
    <col min="510" max="510" width="56.21875" style="462" bestFit="1" customWidth="1"/>
    <col min="511" max="511" width="14.109375" style="462" customWidth="1"/>
    <col min="512" max="522" width="0" style="462" hidden="1" customWidth="1"/>
    <col min="523" max="523" width="16.33203125" style="462" customWidth="1"/>
    <col min="524" max="529" width="0" style="462" hidden="1" customWidth="1"/>
    <col min="530" max="530" width="4.88671875" style="462" customWidth="1"/>
    <col min="531" max="765" width="8.88671875" style="462"/>
    <col min="766" max="766" width="56.21875" style="462" bestFit="1" customWidth="1"/>
    <col min="767" max="767" width="14.109375" style="462" customWidth="1"/>
    <col min="768" max="778" width="0" style="462" hidden="1" customWidth="1"/>
    <col min="779" max="779" width="16.33203125" style="462" customWidth="1"/>
    <col min="780" max="785" width="0" style="462" hidden="1" customWidth="1"/>
    <col min="786" max="786" width="4.88671875" style="462" customWidth="1"/>
    <col min="787" max="1021" width="8.88671875" style="462"/>
    <col min="1022" max="1022" width="56.21875" style="462" bestFit="1" customWidth="1"/>
    <col min="1023" max="1023" width="14.109375" style="462" customWidth="1"/>
    <col min="1024" max="1034" width="0" style="462" hidden="1" customWidth="1"/>
    <col min="1035" max="1035" width="16.33203125" style="462" customWidth="1"/>
    <col min="1036" max="1041" width="0" style="462" hidden="1" customWidth="1"/>
    <col min="1042" max="1042" width="4.88671875" style="462" customWidth="1"/>
    <col min="1043" max="1277" width="8.88671875" style="462"/>
    <col min="1278" max="1278" width="56.21875" style="462" bestFit="1" customWidth="1"/>
    <col min="1279" max="1279" width="14.109375" style="462" customWidth="1"/>
    <col min="1280" max="1290" width="0" style="462" hidden="1" customWidth="1"/>
    <col min="1291" max="1291" width="16.33203125" style="462" customWidth="1"/>
    <col min="1292" max="1297" width="0" style="462" hidden="1" customWidth="1"/>
    <col min="1298" max="1298" width="4.88671875" style="462" customWidth="1"/>
    <col min="1299" max="1533" width="8.88671875" style="462"/>
    <col min="1534" max="1534" width="56.21875" style="462" bestFit="1" customWidth="1"/>
    <col min="1535" max="1535" width="14.109375" style="462" customWidth="1"/>
    <col min="1536" max="1546" width="0" style="462" hidden="1" customWidth="1"/>
    <col min="1547" max="1547" width="16.33203125" style="462" customWidth="1"/>
    <col min="1548" max="1553" width="0" style="462" hidden="1" customWidth="1"/>
    <col min="1554" max="1554" width="4.88671875" style="462" customWidth="1"/>
    <col min="1555" max="1789" width="8.88671875" style="462"/>
    <col min="1790" max="1790" width="56.21875" style="462" bestFit="1" customWidth="1"/>
    <col min="1791" max="1791" width="14.109375" style="462" customWidth="1"/>
    <col min="1792" max="1802" width="0" style="462" hidden="1" customWidth="1"/>
    <col min="1803" max="1803" width="16.33203125" style="462" customWidth="1"/>
    <col min="1804" max="1809" width="0" style="462" hidden="1" customWidth="1"/>
    <col min="1810" max="1810" width="4.88671875" style="462" customWidth="1"/>
    <col min="1811" max="2045" width="8.88671875" style="462"/>
    <col min="2046" max="2046" width="56.21875" style="462" bestFit="1" customWidth="1"/>
    <col min="2047" max="2047" width="14.109375" style="462" customWidth="1"/>
    <col min="2048" max="2058" width="0" style="462" hidden="1" customWidth="1"/>
    <col min="2059" max="2059" width="16.33203125" style="462" customWidth="1"/>
    <col min="2060" max="2065" width="0" style="462" hidden="1" customWidth="1"/>
    <col min="2066" max="2066" width="4.88671875" style="462" customWidth="1"/>
    <col min="2067" max="2301" width="8.88671875" style="462"/>
    <col min="2302" max="2302" width="56.21875" style="462" bestFit="1" customWidth="1"/>
    <col min="2303" max="2303" width="14.109375" style="462" customWidth="1"/>
    <col min="2304" max="2314" width="0" style="462" hidden="1" customWidth="1"/>
    <col min="2315" max="2315" width="16.33203125" style="462" customWidth="1"/>
    <col min="2316" max="2321" width="0" style="462" hidden="1" customWidth="1"/>
    <col min="2322" max="2322" width="4.88671875" style="462" customWidth="1"/>
    <col min="2323" max="2557" width="8.88671875" style="462"/>
    <col min="2558" max="2558" width="56.21875" style="462" bestFit="1" customWidth="1"/>
    <col min="2559" max="2559" width="14.109375" style="462" customWidth="1"/>
    <col min="2560" max="2570" width="0" style="462" hidden="1" customWidth="1"/>
    <col min="2571" max="2571" width="16.33203125" style="462" customWidth="1"/>
    <col min="2572" max="2577" width="0" style="462" hidden="1" customWidth="1"/>
    <col min="2578" max="2578" width="4.88671875" style="462" customWidth="1"/>
    <col min="2579" max="2813" width="8.88671875" style="462"/>
    <col min="2814" max="2814" width="56.21875" style="462" bestFit="1" customWidth="1"/>
    <col min="2815" max="2815" width="14.109375" style="462" customWidth="1"/>
    <col min="2816" max="2826" width="0" style="462" hidden="1" customWidth="1"/>
    <col min="2827" max="2827" width="16.33203125" style="462" customWidth="1"/>
    <col min="2828" max="2833" width="0" style="462" hidden="1" customWidth="1"/>
    <col min="2834" max="2834" width="4.88671875" style="462" customWidth="1"/>
    <col min="2835" max="3069" width="8.88671875" style="462"/>
    <col min="3070" max="3070" width="56.21875" style="462" bestFit="1" customWidth="1"/>
    <col min="3071" max="3071" width="14.109375" style="462" customWidth="1"/>
    <col min="3072" max="3082" width="0" style="462" hidden="1" customWidth="1"/>
    <col min="3083" max="3083" width="16.33203125" style="462" customWidth="1"/>
    <col min="3084" max="3089" width="0" style="462" hidden="1" customWidth="1"/>
    <col min="3090" max="3090" width="4.88671875" style="462" customWidth="1"/>
    <col min="3091" max="3325" width="8.88671875" style="462"/>
    <col min="3326" max="3326" width="56.21875" style="462" bestFit="1" customWidth="1"/>
    <col min="3327" max="3327" width="14.109375" style="462" customWidth="1"/>
    <col min="3328" max="3338" width="0" style="462" hidden="1" customWidth="1"/>
    <col min="3339" max="3339" width="16.33203125" style="462" customWidth="1"/>
    <col min="3340" max="3345" width="0" style="462" hidden="1" customWidth="1"/>
    <col min="3346" max="3346" width="4.88671875" style="462" customWidth="1"/>
    <col min="3347" max="3581" width="8.88671875" style="462"/>
    <col min="3582" max="3582" width="56.21875" style="462" bestFit="1" customWidth="1"/>
    <col min="3583" max="3583" width="14.109375" style="462" customWidth="1"/>
    <col min="3584" max="3594" width="0" style="462" hidden="1" customWidth="1"/>
    <col min="3595" max="3595" width="16.33203125" style="462" customWidth="1"/>
    <col min="3596" max="3601" width="0" style="462" hidden="1" customWidth="1"/>
    <col min="3602" max="3602" width="4.88671875" style="462" customWidth="1"/>
    <col min="3603" max="3837" width="8.88671875" style="462"/>
    <col min="3838" max="3838" width="56.21875" style="462" bestFit="1" customWidth="1"/>
    <col min="3839" max="3839" width="14.109375" style="462" customWidth="1"/>
    <col min="3840" max="3850" width="0" style="462" hidden="1" customWidth="1"/>
    <col min="3851" max="3851" width="16.33203125" style="462" customWidth="1"/>
    <col min="3852" max="3857" width="0" style="462" hidden="1" customWidth="1"/>
    <col min="3858" max="3858" width="4.88671875" style="462" customWidth="1"/>
    <col min="3859" max="4093" width="8.88671875" style="462"/>
    <col min="4094" max="4094" width="56.21875" style="462" bestFit="1" customWidth="1"/>
    <col min="4095" max="4095" width="14.109375" style="462" customWidth="1"/>
    <col min="4096" max="4106" width="0" style="462" hidden="1" customWidth="1"/>
    <col min="4107" max="4107" width="16.33203125" style="462" customWidth="1"/>
    <col min="4108" max="4113" width="0" style="462" hidden="1" customWidth="1"/>
    <col min="4114" max="4114" width="4.88671875" style="462" customWidth="1"/>
    <col min="4115" max="4349" width="8.88671875" style="462"/>
    <col min="4350" max="4350" width="56.21875" style="462" bestFit="1" customWidth="1"/>
    <col min="4351" max="4351" width="14.109375" style="462" customWidth="1"/>
    <col min="4352" max="4362" width="0" style="462" hidden="1" customWidth="1"/>
    <col min="4363" max="4363" width="16.33203125" style="462" customWidth="1"/>
    <col min="4364" max="4369" width="0" style="462" hidden="1" customWidth="1"/>
    <col min="4370" max="4370" width="4.88671875" style="462" customWidth="1"/>
    <col min="4371" max="4605" width="8.88671875" style="462"/>
    <col min="4606" max="4606" width="56.21875" style="462" bestFit="1" customWidth="1"/>
    <col min="4607" max="4607" width="14.109375" style="462" customWidth="1"/>
    <col min="4608" max="4618" width="0" style="462" hidden="1" customWidth="1"/>
    <col min="4619" max="4619" width="16.33203125" style="462" customWidth="1"/>
    <col min="4620" max="4625" width="0" style="462" hidden="1" customWidth="1"/>
    <col min="4626" max="4626" width="4.88671875" style="462" customWidth="1"/>
    <col min="4627" max="4861" width="8.88671875" style="462"/>
    <col min="4862" max="4862" width="56.21875" style="462" bestFit="1" customWidth="1"/>
    <col min="4863" max="4863" width="14.109375" style="462" customWidth="1"/>
    <col min="4864" max="4874" width="0" style="462" hidden="1" customWidth="1"/>
    <col min="4875" max="4875" width="16.33203125" style="462" customWidth="1"/>
    <col min="4876" max="4881" width="0" style="462" hidden="1" customWidth="1"/>
    <col min="4882" max="4882" width="4.88671875" style="462" customWidth="1"/>
    <col min="4883" max="5117" width="8.88671875" style="462"/>
    <col min="5118" max="5118" width="56.21875" style="462" bestFit="1" customWidth="1"/>
    <col min="5119" max="5119" width="14.109375" style="462" customWidth="1"/>
    <col min="5120" max="5130" width="0" style="462" hidden="1" customWidth="1"/>
    <col min="5131" max="5131" width="16.33203125" style="462" customWidth="1"/>
    <col min="5132" max="5137" width="0" style="462" hidden="1" customWidth="1"/>
    <col min="5138" max="5138" width="4.88671875" style="462" customWidth="1"/>
    <col min="5139" max="5373" width="8.88671875" style="462"/>
    <col min="5374" max="5374" width="56.21875" style="462" bestFit="1" customWidth="1"/>
    <col min="5375" max="5375" width="14.109375" style="462" customWidth="1"/>
    <col min="5376" max="5386" width="0" style="462" hidden="1" customWidth="1"/>
    <col min="5387" max="5387" width="16.33203125" style="462" customWidth="1"/>
    <col min="5388" max="5393" width="0" style="462" hidden="1" customWidth="1"/>
    <col min="5394" max="5394" width="4.88671875" style="462" customWidth="1"/>
    <col min="5395" max="5629" width="8.88671875" style="462"/>
    <col min="5630" max="5630" width="56.21875" style="462" bestFit="1" customWidth="1"/>
    <col min="5631" max="5631" width="14.109375" style="462" customWidth="1"/>
    <col min="5632" max="5642" width="0" style="462" hidden="1" customWidth="1"/>
    <col min="5643" max="5643" width="16.33203125" style="462" customWidth="1"/>
    <col min="5644" max="5649" width="0" style="462" hidden="1" customWidth="1"/>
    <col min="5650" max="5650" width="4.88671875" style="462" customWidth="1"/>
    <col min="5651" max="5885" width="8.88671875" style="462"/>
    <col min="5886" max="5886" width="56.21875" style="462" bestFit="1" customWidth="1"/>
    <col min="5887" max="5887" width="14.109375" style="462" customWidth="1"/>
    <col min="5888" max="5898" width="0" style="462" hidden="1" customWidth="1"/>
    <col min="5899" max="5899" width="16.33203125" style="462" customWidth="1"/>
    <col min="5900" max="5905" width="0" style="462" hidden="1" customWidth="1"/>
    <col min="5906" max="5906" width="4.88671875" style="462" customWidth="1"/>
    <col min="5907" max="6141" width="8.88671875" style="462"/>
    <col min="6142" max="6142" width="56.21875" style="462" bestFit="1" customWidth="1"/>
    <col min="6143" max="6143" width="14.109375" style="462" customWidth="1"/>
    <col min="6144" max="6154" width="0" style="462" hidden="1" customWidth="1"/>
    <col min="6155" max="6155" width="16.33203125" style="462" customWidth="1"/>
    <col min="6156" max="6161" width="0" style="462" hidden="1" customWidth="1"/>
    <col min="6162" max="6162" width="4.88671875" style="462" customWidth="1"/>
    <col min="6163" max="6397" width="8.88671875" style="462"/>
    <col min="6398" max="6398" width="56.21875" style="462" bestFit="1" customWidth="1"/>
    <col min="6399" max="6399" width="14.109375" style="462" customWidth="1"/>
    <col min="6400" max="6410" width="0" style="462" hidden="1" customWidth="1"/>
    <col min="6411" max="6411" width="16.33203125" style="462" customWidth="1"/>
    <col min="6412" max="6417" width="0" style="462" hidden="1" customWidth="1"/>
    <col min="6418" max="6418" width="4.88671875" style="462" customWidth="1"/>
    <col min="6419" max="6653" width="8.88671875" style="462"/>
    <col min="6654" max="6654" width="56.21875" style="462" bestFit="1" customWidth="1"/>
    <col min="6655" max="6655" width="14.109375" style="462" customWidth="1"/>
    <col min="6656" max="6666" width="0" style="462" hidden="1" customWidth="1"/>
    <col min="6667" max="6667" width="16.33203125" style="462" customWidth="1"/>
    <col min="6668" max="6673" width="0" style="462" hidden="1" customWidth="1"/>
    <col min="6674" max="6674" width="4.88671875" style="462" customWidth="1"/>
    <col min="6675" max="6909" width="8.88671875" style="462"/>
    <col min="6910" max="6910" width="56.21875" style="462" bestFit="1" customWidth="1"/>
    <col min="6911" max="6911" width="14.109375" style="462" customWidth="1"/>
    <col min="6912" max="6922" width="0" style="462" hidden="1" customWidth="1"/>
    <col min="6923" max="6923" width="16.33203125" style="462" customWidth="1"/>
    <col min="6924" max="6929" width="0" style="462" hidden="1" customWidth="1"/>
    <col min="6930" max="6930" width="4.88671875" style="462" customWidth="1"/>
    <col min="6931" max="7165" width="8.88671875" style="462"/>
    <col min="7166" max="7166" width="56.21875" style="462" bestFit="1" customWidth="1"/>
    <col min="7167" max="7167" width="14.109375" style="462" customWidth="1"/>
    <col min="7168" max="7178" width="0" style="462" hidden="1" customWidth="1"/>
    <col min="7179" max="7179" width="16.33203125" style="462" customWidth="1"/>
    <col min="7180" max="7185" width="0" style="462" hidden="1" customWidth="1"/>
    <col min="7186" max="7186" width="4.88671875" style="462" customWidth="1"/>
    <col min="7187" max="7421" width="8.88671875" style="462"/>
    <col min="7422" max="7422" width="56.21875" style="462" bestFit="1" customWidth="1"/>
    <col min="7423" max="7423" width="14.109375" style="462" customWidth="1"/>
    <col min="7424" max="7434" width="0" style="462" hidden="1" customWidth="1"/>
    <col min="7435" max="7435" width="16.33203125" style="462" customWidth="1"/>
    <col min="7436" max="7441" width="0" style="462" hidden="1" customWidth="1"/>
    <col min="7442" max="7442" width="4.88671875" style="462" customWidth="1"/>
    <col min="7443" max="7677" width="8.88671875" style="462"/>
    <col min="7678" max="7678" width="56.21875" style="462" bestFit="1" customWidth="1"/>
    <col min="7679" max="7679" width="14.109375" style="462" customWidth="1"/>
    <col min="7680" max="7690" width="0" style="462" hidden="1" customWidth="1"/>
    <col min="7691" max="7691" width="16.33203125" style="462" customWidth="1"/>
    <col min="7692" max="7697" width="0" style="462" hidden="1" customWidth="1"/>
    <col min="7698" max="7698" width="4.88671875" style="462" customWidth="1"/>
    <col min="7699" max="7933" width="8.88671875" style="462"/>
    <col min="7934" max="7934" width="56.21875" style="462" bestFit="1" customWidth="1"/>
    <col min="7935" max="7935" width="14.109375" style="462" customWidth="1"/>
    <col min="7936" max="7946" width="0" style="462" hidden="1" customWidth="1"/>
    <col min="7947" max="7947" width="16.33203125" style="462" customWidth="1"/>
    <col min="7948" max="7953" width="0" style="462" hidden="1" customWidth="1"/>
    <col min="7954" max="7954" width="4.88671875" style="462" customWidth="1"/>
    <col min="7955" max="8189" width="8.88671875" style="462"/>
    <col min="8190" max="8190" width="56.21875" style="462" bestFit="1" customWidth="1"/>
    <col min="8191" max="8191" width="14.109375" style="462" customWidth="1"/>
    <col min="8192" max="8202" width="0" style="462" hidden="1" customWidth="1"/>
    <col min="8203" max="8203" width="16.33203125" style="462" customWidth="1"/>
    <col min="8204" max="8209" width="0" style="462" hidden="1" customWidth="1"/>
    <col min="8210" max="8210" width="4.88671875" style="462" customWidth="1"/>
    <col min="8211" max="8445" width="8.88671875" style="462"/>
    <col min="8446" max="8446" width="56.21875" style="462" bestFit="1" customWidth="1"/>
    <col min="8447" max="8447" width="14.109375" style="462" customWidth="1"/>
    <col min="8448" max="8458" width="0" style="462" hidden="1" customWidth="1"/>
    <col min="8459" max="8459" width="16.33203125" style="462" customWidth="1"/>
    <col min="8460" max="8465" width="0" style="462" hidden="1" customWidth="1"/>
    <col min="8466" max="8466" width="4.88671875" style="462" customWidth="1"/>
    <col min="8467" max="8701" width="8.88671875" style="462"/>
    <col min="8702" max="8702" width="56.21875" style="462" bestFit="1" customWidth="1"/>
    <col min="8703" max="8703" width="14.109375" style="462" customWidth="1"/>
    <col min="8704" max="8714" width="0" style="462" hidden="1" customWidth="1"/>
    <col min="8715" max="8715" width="16.33203125" style="462" customWidth="1"/>
    <col min="8716" max="8721" width="0" style="462" hidden="1" customWidth="1"/>
    <col min="8722" max="8722" width="4.88671875" style="462" customWidth="1"/>
    <col min="8723" max="8957" width="8.88671875" style="462"/>
    <col min="8958" max="8958" width="56.21875" style="462" bestFit="1" customWidth="1"/>
    <col min="8959" max="8959" width="14.109375" style="462" customWidth="1"/>
    <col min="8960" max="8970" width="0" style="462" hidden="1" customWidth="1"/>
    <col min="8971" max="8971" width="16.33203125" style="462" customWidth="1"/>
    <col min="8972" max="8977" width="0" style="462" hidden="1" customWidth="1"/>
    <col min="8978" max="8978" width="4.88671875" style="462" customWidth="1"/>
    <col min="8979" max="9213" width="8.88671875" style="462"/>
    <col min="9214" max="9214" width="56.21875" style="462" bestFit="1" customWidth="1"/>
    <col min="9215" max="9215" width="14.109375" style="462" customWidth="1"/>
    <col min="9216" max="9226" width="0" style="462" hidden="1" customWidth="1"/>
    <col min="9227" max="9227" width="16.33203125" style="462" customWidth="1"/>
    <col min="9228" max="9233" width="0" style="462" hidden="1" customWidth="1"/>
    <col min="9234" max="9234" width="4.88671875" style="462" customWidth="1"/>
    <col min="9235" max="9469" width="8.88671875" style="462"/>
    <col min="9470" max="9470" width="56.21875" style="462" bestFit="1" customWidth="1"/>
    <col min="9471" max="9471" width="14.109375" style="462" customWidth="1"/>
    <col min="9472" max="9482" width="0" style="462" hidden="1" customWidth="1"/>
    <col min="9483" max="9483" width="16.33203125" style="462" customWidth="1"/>
    <col min="9484" max="9489" width="0" style="462" hidden="1" customWidth="1"/>
    <col min="9490" max="9490" width="4.88671875" style="462" customWidth="1"/>
    <col min="9491" max="9725" width="8.88671875" style="462"/>
    <col min="9726" max="9726" width="56.21875" style="462" bestFit="1" customWidth="1"/>
    <col min="9727" max="9727" width="14.109375" style="462" customWidth="1"/>
    <col min="9728" max="9738" width="0" style="462" hidden="1" customWidth="1"/>
    <col min="9739" max="9739" width="16.33203125" style="462" customWidth="1"/>
    <col min="9740" max="9745" width="0" style="462" hidden="1" customWidth="1"/>
    <col min="9746" max="9746" width="4.88671875" style="462" customWidth="1"/>
    <col min="9747" max="9981" width="8.88671875" style="462"/>
    <col min="9982" max="9982" width="56.21875" style="462" bestFit="1" customWidth="1"/>
    <col min="9983" max="9983" width="14.109375" style="462" customWidth="1"/>
    <col min="9984" max="9994" width="0" style="462" hidden="1" customWidth="1"/>
    <col min="9995" max="9995" width="16.33203125" style="462" customWidth="1"/>
    <col min="9996" max="10001" width="0" style="462" hidden="1" customWidth="1"/>
    <col min="10002" max="10002" width="4.88671875" style="462" customWidth="1"/>
    <col min="10003" max="10237" width="8.88671875" style="462"/>
    <col min="10238" max="10238" width="56.21875" style="462" bestFit="1" customWidth="1"/>
    <col min="10239" max="10239" width="14.109375" style="462" customWidth="1"/>
    <col min="10240" max="10250" width="0" style="462" hidden="1" customWidth="1"/>
    <col min="10251" max="10251" width="16.33203125" style="462" customWidth="1"/>
    <col min="10252" max="10257" width="0" style="462" hidden="1" customWidth="1"/>
    <col min="10258" max="10258" width="4.88671875" style="462" customWidth="1"/>
    <col min="10259" max="10493" width="8.88671875" style="462"/>
    <col min="10494" max="10494" width="56.21875" style="462" bestFit="1" customWidth="1"/>
    <col min="10495" max="10495" width="14.109375" style="462" customWidth="1"/>
    <col min="10496" max="10506" width="0" style="462" hidden="1" customWidth="1"/>
    <col min="10507" max="10507" width="16.33203125" style="462" customWidth="1"/>
    <col min="10508" max="10513" width="0" style="462" hidden="1" customWidth="1"/>
    <col min="10514" max="10514" width="4.88671875" style="462" customWidth="1"/>
    <col min="10515" max="10749" width="8.88671875" style="462"/>
    <col min="10750" max="10750" width="56.21875" style="462" bestFit="1" customWidth="1"/>
    <col min="10751" max="10751" width="14.109375" style="462" customWidth="1"/>
    <col min="10752" max="10762" width="0" style="462" hidden="1" customWidth="1"/>
    <col min="10763" max="10763" width="16.33203125" style="462" customWidth="1"/>
    <col min="10764" max="10769" width="0" style="462" hidden="1" customWidth="1"/>
    <col min="10770" max="10770" width="4.88671875" style="462" customWidth="1"/>
    <col min="10771" max="11005" width="8.88671875" style="462"/>
    <col min="11006" max="11006" width="56.21875" style="462" bestFit="1" customWidth="1"/>
    <col min="11007" max="11007" width="14.109375" style="462" customWidth="1"/>
    <col min="11008" max="11018" width="0" style="462" hidden="1" customWidth="1"/>
    <col min="11019" max="11019" width="16.33203125" style="462" customWidth="1"/>
    <col min="11020" max="11025" width="0" style="462" hidden="1" customWidth="1"/>
    <col min="11026" max="11026" width="4.88671875" style="462" customWidth="1"/>
    <col min="11027" max="11261" width="8.88671875" style="462"/>
    <col min="11262" max="11262" width="56.21875" style="462" bestFit="1" customWidth="1"/>
    <col min="11263" max="11263" width="14.109375" style="462" customWidth="1"/>
    <col min="11264" max="11274" width="0" style="462" hidden="1" customWidth="1"/>
    <col min="11275" max="11275" width="16.33203125" style="462" customWidth="1"/>
    <col min="11276" max="11281" width="0" style="462" hidden="1" customWidth="1"/>
    <col min="11282" max="11282" width="4.88671875" style="462" customWidth="1"/>
    <col min="11283" max="11517" width="8.88671875" style="462"/>
    <col min="11518" max="11518" width="56.21875" style="462" bestFit="1" customWidth="1"/>
    <col min="11519" max="11519" width="14.109375" style="462" customWidth="1"/>
    <col min="11520" max="11530" width="0" style="462" hidden="1" customWidth="1"/>
    <col min="11531" max="11531" width="16.33203125" style="462" customWidth="1"/>
    <col min="11532" max="11537" width="0" style="462" hidden="1" customWidth="1"/>
    <col min="11538" max="11538" width="4.88671875" style="462" customWidth="1"/>
    <col min="11539" max="11773" width="8.88671875" style="462"/>
    <col min="11774" max="11774" width="56.21875" style="462" bestFit="1" customWidth="1"/>
    <col min="11775" max="11775" width="14.109375" style="462" customWidth="1"/>
    <col min="11776" max="11786" width="0" style="462" hidden="1" customWidth="1"/>
    <col min="11787" max="11787" width="16.33203125" style="462" customWidth="1"/>
    <col min="11788" max="11793" width="0" style="462" hidden="1" customWidth="1"/>
    <col min="11794" max="11794" width="4.88671875" style="462" customWidth="1"/>
    <col min="11795" max="12029" width="8.88671875" style="462"/>
    <col min="12030" max="12030" width="56.21875" style="462" bestFit="1" customWidth="1"/>
    <col min="12031" max="12031" width="14.109375" style="462" customWidth="1"/>
    <col min="12032" max="12042" width="0" style="462" hidden="1" customWidth="1"/>
    <col min="12043" max="12043" width="16.33203125" style="462" customWidth="1"/>
    <col min="12044" max="12049" width="0" style="462" hidden="1" customWidth="1"/>
    <col min="12050" max="12050" width="4.88671875" style="462" customWidth="1"/>
    <col min="12051" max="12285" width="8.88671875" style="462"/>
    <col min="12286" max="12286" width="56.21875" style="462" bestFit="1" customWidth="1"/>
    <col min="12287" max="12287" width="14.109375" style="462" customWidth="1"/>
    <col min="12288" max="12298" width="0" style="462" hidden="1" customWidth="1"/>
    <col min="12299" max="12299" width="16.33203125" style="462" customWidth="1"/>
    <col min="12300" max="12305" width="0" style="462" hidden="1" customWidth="1"/>
    <col min="12306" max="12306" width="4.88671875" style="462" customWidth="1"/>
    <col min="12307" max="12541" width="8.88671875" style="462"/>
    <col min="12542" max="12542" width="56.21875" style="462" bestFit="1" customWidth="1"/>
    <col min="12543" max="12543" width="14.109375" style="462" customWidth="1"/>
    <col min="12544" max="12554" width="0" style="462" hidden="1" customWidth="1"/>
    <col min="12555" max="12555" width="16.33203125" style="462" customWidth="1"/>
    <col min="12556" max="12561" width="0" style="462" hidden="1" customWidth="1"/>
    <col min="12562" max="12562" width="4.88671875" style="462" customWidth="1"/>
    <col min="12563" max="12797" width="8.88671875" style="462"/>
    <col min="12798" max="12798" width="56.21875" style="462" bestFit="1" customWidth="1"/>
    <col min="12799" max="12799" width="14.109375" style="462" customWidth="1"/>
    <col min="12800" max="12810" width="0" style="462" hidden="1" customWidth="1"/>
    <col min="12811" max="12811" width="16.33203125" style="462" customWidth="1"/>
    <col min="12812" max="12817" width="0" style="462" hidden="1" customWidth="1"/>
    <col min="12818" max="12818" width="4.88671875" style="462" customWidth="1"/>
    <col min="12819" max="13053" width="8.88671875" style="462"/>
    <col min="13054" max="13054" width="56.21875" style="462" bestFit="1" customWidth="1"/>
    <col min="13055" max="13055" width="14.109375" style="462" customWidth="1"/>
    <col min="13056" max="13066" width="0" style="462" hidden="1" customWidth="1"/>
    <col min="13067" max="13067" width="16.33203125" style="462" customWidth="1"/>
    <col min="13068" max="13073" width="0" style="462" hidden="1" customWidth="1"/>
    <col min="13074" max="13074" width="4.88671875" style="462" customWidth="1"/>
    <col min="13075" max="13309" width="8.88671875" style="462"/>
    <col min="13310" max="13310" width="56.21875" style="462" bestFit="1" customWidth="1"/>
    <col min="13311" max="13311" width="14.109375" style="462" customWidth="1"/>
    <col min="13312" max="13322" width="0" style="462" hidden="1" customWidth="1"/>
    <col min="13323" max="13323" width="16.33203125" style="462" customWidth="1"/>
    <col min="13324" max="13329" width="0" style="462" hidden="1" customWidth="1"/>
    <col min="13330" max="13330" width="4.88671875" style="462" customWidth="1"/>
    <col min="13331" max="13565" width="8.88671875" style="462"/>
    <col min="13566" max="13566" width="56.21875" style="462" bestFit="1" customWidth="1"/>
    <col min="13567" max="13567" width="14.109375" style="462" customWidth="1"/>
    <col min="13568" max="13578" width="0" style="462" hidden="1" customWidth="1"/>
    <col min="13579" max="13579" width="16.33203125" style="462" customWidth="1"/>
    <col min="13580" max="13585" width="0" style="462" hidden="1" customWidth="1"/>
    <col min="13586" max="13586" width="4.88671875" style="462" customWidth="1"/>
    <col min="13587" max="13821" width="8.88671875" style="462"/>
    <col min="13822" max="13822" width="56.21875" style="462" bestFit="1" customWidth="1"/>
    <col min="13823" max="13823" width="14.109375" style="462" customWidth="1"/>
    <col min="13824" max="13834" width="0" style="462" hidden="1" customWidth="1"/>
    <col min="13835" max="13835" width="16.33203125" style="462" customWidth="1"/>
    <col min="13836" max="13841" width="0" style="462" hidden="1" customWidth="1"/>
    <col min="13842" max="13842" width="4.88671875" style="462" customWidth="1"/>
    <col min="13843" max="14077" width="8.88671875" style="462"/>
    <col min="14078" max="14078" width="56.21875" style="462" bestFit="1" customWidth="1"/>
    <col min="14079" max="14079" width="14.109375" style="462" customWidth="1"/>
    <col min="14080" max="14090" width="0" style="462" hidden="1" customWidth="1"/>
    <col min="14091" max="14091" width="16.33203125" style="462" customWidth="1"/>
    <col min="14092" max="14097" width="0" style="462" hidden="1" customWidth="1"/>
    <col min="14098" max="14098" width="4.88671875" style="462" customWidth="1"/>
    <col min="14099" max="14333" width="8.88671875" style="462"/>
    <col min="14334" max="14334" width="56.21875" style="462" bestFit="1" customWidth="1"/>
    <col min="14335" max="14335" width="14.109375" style="462" customWidth="1"/>
    <col min="14336" max="14346" width="0" style="462" hidden="1" customWidth="1"/>
    <col min="14347" max="14347" width="16.33203125" style="462" customWidth="1"/>
    <col min="14348" max="14353" width="0" style="462" hidden="1" customWidth="1"/>
    <col min="14354" max="14354" width="4.88671875" style="462" customWidth="1"/>
    <col min="14355" max="14589" width="8.88671875" style="462"/>
    <col min="14590" max="14590" width="56.21875" style="462" bestFit="1" customWidth="1"/>
    <col min="14591" max="14591" width="14.109375" style="462" customWidth="1"/>
    <col min="14592" max="14602" width="0" style="462" hidden="1" customWidth="1"/>
    <col min="14603" max="14603" width="16.33203125" style="462" customWidth="1"/>
    <col min="14604" max="14609" width="0" style="462" hidden="1" customWidth="1"/>
    <col min="14610" max="14610" width="4.88671875" style="462" customWidth="1"/>
    <col min="14611" max="14845" width="8.88671875" style="462"/>
    <col min="14846" max="14846" width="56.21875" style="462" bestFit="1" customWidth="1"/>
    <col min="14847" max="14847" width="14.109375" style="462" customWidth="1"/>
    <col min="14848" max="14858" width="0" style="462" hidden="1" customWidth="1"/>
    <col min="14859" max="14859" width="16.33203125" style="462" customWidth="1"/>
    <col min="14860" max="14865" width="0" style="462" hidden="1" customWidth="1"/>
    <col min="14866" max="14866" width="4.88671875" style="462" customWidth="1"/>
    <col min="14867" max="15101" width="8.88671875" style="462"/>
    <col min="15102" max="15102" width="56.21875" style="462" bestFit="1" customWidth="1"/>
    <col min="15103" max="15103" width="14.109375" style="462" customWidth="1"/>
    <col min="15104" max="15114" width="0" style="462" hidden="1" customWidth="1"/>
    <col min="15115" max="15115" width="16.33203125" style="462" customWidth="1"/>
    <col min="15116" max="15121" width="0" style="462" hidden="1" customWidth="1"/>
    <col min="15122" max="15122" width="4.88671875" style="462" customWidth="1"/>
    <col min="15123" max="15357" width="8.88671875" style="462"/>
    <col min="15358" max="15358" width="56.21875" style="462" bestFit="1" customWidth="1"/>
    <col min="15359" max="15359" width="14.109375" style="462" customWidth="1"/>
    <col min="15360" max="15370" width="0" style="462" hidden="1" customWidth="1"/>
    <col min="15371" max="15371" width="16.33203125" style="462" customWidth="1"/>
    <col min="15372" max="15377" width="0" style="462" hidden="1" customWidth="1"/>
    <col min="15378" max="15378" width="4.88671875" style="462" customWidth="1"/>
    <col min="15379" max="15613" width="8.88671875" style="462"/>
    <col min="15614" max="15614" width="56.21875" style="462" bestFit="1" customWidth="1"/>
    <col min="15615" max="15615" width="14.109375" style="462" customWidth="1"/>
    <col min="15616" max="15626" width="0" style="462" hidden="1" customWidth="1"/>
    <col min="15627" max="15627" width="16.33203125" style="462" customWidth="1"/>
    <col min="15628" max="15633" width="0" style="462" hidden="1" customWidth="1"/>
    <col min="15634" max="15634" width="4.88671875" style="462" customWidth="1"/>
    <col min="15635" max="15869" width="8.88671875" style="462"/>
    <col min="15870" max="15870" width="56.21875" style="462" bestFit="1" customWidth="1"/>
    <col min="15871" max="15871" width="14.109375" style="462" customWidth="1"/>
    <col min="15872" max="15882" width="0" style="462" hidden="1" customWidth="1"/>
    <col min="15883" max="15883" width="16.33203125" style="462" customWidth="1"/>
    <col min="15884" max="15889" width="0" style="462" hidden="1" customWidth="1"/>
    <col min="15890" max="15890" width="4.88671875" style="462" customWidth="1"/>
    <col min="15891" max="16125" width="8.88671875" style="462"/>
    <col min="16126" max="16126" width="56.21875" style="462" bestFit="1" customWidth="1"/>
    <col min="16127" max="16127" width="14.109375" style="462" customWidth="1"/>
    <col min="16128" max="16138" width="0" style="462" hidden="1" customWidth="1"/>
    <col min="16139" max="16139" width="16.33203125" style="462" customWidth="1"/>
    <col min="16140" max="16145" width="0" style="462" hidden="1" customWidth="1"/>
    <col min="16146" max="16146" width="4.88671875" style="462" customWidth="1"/>
    <col min="16147" max="16381" width="8.88671875" style="462"/>
    <col min="16382" max="16384" width="12.6640625" style="462" customWidth="1"/>
  </cols>
  <sheetData>
    <row r="1" spans="1:14" s="456" customFormat="1" ht="16.2">
      <c r="A1" s="548" t="s">
        <v>302</v>
      </c>
      <c r="B1" s="549"/>
      <c r="C1" s="549"/>
      <c r="D1" s="549"/>
      <c r="E1" s="549"/>
      <c r="F1" s="549"/>
      <c r="G1" s="549"/>
      <c r="H1" s="549"/>
      <c r="I1" s="549"/>
      <c r="J1" s="549"/>
      <c r="K1" s="549"/>
      <c r="L1" s="549"/>
      <c r="M1" s="549"/>
      <c r="N1" s="549"/>
    </row>
    <row r="2" spans="1:14" s="456" customFormat="1" ht="15.6">
      <c r="A2" s="550" t="s">
        <v>403</v>
      </c>
      <c r="B2" s="551"/>
      <c r="C2" s="551"/>
      <c r="D2" s="551"/>
      <c r="E2" s="551"/>
      <c r="F2" s="551"/>
      <c r="G2" s="551"/>
      <c r="H2" s="551"/>
      <c r="I2" s="551"/>
      <c r="J2" s="551"/>
      <c r="K2" s="551"/>
      <c r="L2" s="551"/>
      <c r="M2" s="551"/>
      <c r="N2" s="551"/>
    </row>
    <row r="3" spans="1:14" s="456" customFormat="1" ht="15.6">
      <c r="A3" s="546" t="str">
        <f>'Fund 0888 '!R4</f>
        <v>July 2017</v>
      </c>
      <c r="B3" s="547"/>
      <c r="C3" s="547"/>
      <c r="D3" s="547"/>
      <c r="E3" s="547"/>
      <c r="F3" s="547"/>
      <c r="G3" s="547"/>
      <c r="H3" s="547"/>
      <c r="I3" s="547"/>
      <c r="J3" s="547"/>
      <c r="K3" s="547"/>
      <c r="L3" s="547"/>
      <c r="M3" s="547"/>
      <c r="N3" s="547"/>
    </row>
    <row r="4" spans="1:14" s="456" customFormat="1">
      <c r="A4" s="458"/>
      <c r="B4" s="451"/>
      <c r="C4" s="451"/>
      <c r="D4" s="451"/>
      <c r="E4" s="451"/>
      <c r="F4" s="451"/>
      <c r="G4" s="451"/>
      <c r="H4" s="459"/>
      <c r="I4" s="459"/>
      <c r="J4" s="459"/>
      <c r="K4" s="437"/>
      <c r="L4" s="437"/>
      <c r="M4" s="437"/>
      <c r="N4" s="437"/>
    </row>
    <row r="5" spans="1:14">
      <c r="A5" s="460"/>
      <c r="B5" s="451"/>
      <c r="C5" s="451"/>
      <c r="D5" s="451"/>
      <c r="E5" s="451"/>
      <c r="F5" s="451"/>
      <c r="G5" s="451"/>
      <c r="H5" s="461"/>
      <c r="I5" s="461"/>
      <c r="J5" s="461"/>
      <c r="K5" s="451"/>
      <c r="L5" s="451"/>
      <c r="M5" s="451"/>
      <c r="N5" s="451"/>
    </row>
    <row r="6" spans="1:14" ht="15.6">
      <c r="A6" s="122"/>
      <c r="B6" s="518"/>
      <c r="C6" s="518"/>
      <c r="D6" s="518"/>
      <c r="E6" s="518"/>
      <c r="F6" s="518"/>
      <c r="G6" s="518"/>
      <c r="H6" s="518"/>
      <c r="I6" s="518"/>
      <c r="J6" s="518"/>
      <c r="K6" s="518"/>
      <c r="L6" s="518"/>
      <c r="M6" s="518"/>
      <c r="N6" s="518" t="str">
        <f>'Fund 0888 '!N6</f>
        <v>FY 2017 YTD</v>
      </c>
    </row>
    <row r="7" spans="1:14" s="464" customFormat="1" ht="16.2" thickBot="1">
      <c r="A7" s="123"/>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row>
    <row r="8" spans="1:14" ht="16.2" thickTop="1">
      <c r="A8" s="122"/>
      <c r="B8" s="107"/>
      <c r="C8" s="107"/>
      <c r="D8" s="107"/>
      <c r="E8" s="107"/>
      <c r="F8" s="107"/>
      <c r="G8" s="107"/>
      <c r="H8" s="124"/>
      <c r="I8" s="125"/>
      <c r="J8" s="125"/>
      <c r="K8" s="107"/>
      <c r="L8" s="107"/>
      <c r="M8" s="107"/>
      <c r="N8" s="107"/>
    </row>
    <row r="9" spans="1:14" ht="16.2" thickBot="1">
      <c r="A9" s="487" t="s">
        <v>300</v>
      </c>
      <c r="B9" s="115">
        <v>0</v>
      </c>
      <c r="C9" s="113">
        <f t="shared" ref="C9:N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 t="shared" si="0"/>
        <v>0</v>
      </c>
    </row>
    <row r="10" spans="1:14" ht="15.6">
      <c r="A10" s="122"/>
      <c r="B10" s="107"/>
      <c r="C10" s="107"/>
      <c r="D10" s="107"/>
      <c r="E10" s="107"/>
      <c r="F10" s="107"/>
      <c r="G10" s="107"/>
      <c r="H10" s="124"/>
      <c r="I10" s="124"/>
      <c r="J10" s="124"/>
      <c r="K10" s="107"/>
      <c r="L10" s="107"/>
      <c r="M10" s="107"/>
      <c r="N10" s="107"/>
    </row>
    <row r="11" spans="1:14" ht="15.6">
      <c r="A11" s="106" t="s">
        <v>299</v>
      </c>
      <c r="B11" s="107"/>
      <c r="C11" s="107"/>
      <c r="D11" s="107"/>
      <c r="E11" s="107"/>
      <c r="F11" s="107"/>
      <c r="G11" s="107"/>
      <c r="H11" s="124"/>
      <c r="I11" s="124"/>
      <c r="J11" s="124"/>
      <c r="K11" s="107"/>
      <c r="L11" s="107"/>
      <c r="M11" s="107"/>
      <c r="N11" s="107"/>
    </row>
    <row r="12" spans="1:14" ht="15.6">
      <c r="A12" s="122"/>
      <c r="B12" s="107"/>
      <c r="C12" s="107"/>
      <c r="D12" s="107"/>
      <c r="E12" s="107"/>
      <c r="F12" s="107"/>
      <c r="G12" s="107"/>
      <c r="H12" s="107"/>
      <c r="I12" s="107"/>
      <c r="J12" s="107"/>
      <c r="K12" s="107"/>
      <c r="L12" s="107"/>
      <c r="M12" s="107"/>
      <c r="N12" s="107"/>
    </row>
    <row r="13" spans="1:14" ht="15.6">
      <c r="A13" s="122" t="s">
        <v>404</v>
      </c>
      <c r="B13" s="107">
        <v>107954</v>
      </c>
      <c r="C13" s="114">
        <v>77017.75</v>
      </c>
      <c r="D13" s="107">
        <v>173636</v>
      </c>
      <c r="E13" s="129">
        <v>233314.95</v>
      </c>
      <c r="F13" s="107">
        <v>237693</v>
      </c>
      <c r="G13" s="107">
        <v>172414.5</v>
      </c>
      <c r="H13" s="107">
        <v>172899.20000000001</v>
      </c>
      <c r="I13" s="107">
        <v>129478.5</v>
      </c>
      <c r="J13" s="107">
        <v>125905.3</v>
      </c>
      <c r="K13" s="107">
        <v>133035</v>
      </c>
      <c r="L13" s="107">
        <v>139124</v>
      </c>
      <c r="M13" s="107"/>
      <c r="N13" s="107">
        <f>SUM(B13:M13)</f>
        <v>1702472.2</v>
      </c>
    </row>
    <row r="14" spans="1:14" ht="15.6">
      <c r="A14" s="122" t="s">
        <v>405</v>
      </c>
      <c r="B14" s="107">
        <v>3900</v>
      </c>
      <c r="C14" s="114">
        <v>2962.5</v>
      </c>
      <c r="D14" s="107">
        <v>2537.5</v>
      </c>
      <c r="E14" s="129">
        <v>4375</v>
      </c>
      <c r="F14" s="107">
        <v>1605</v>
      </c>
      <c r="G14" s="107">
        <v>3100</v>
      </c>
      <c r="H14" s="107">
        <v>3419.5</v>
      </c>
      <c r="I14" s="107">
        <v>3147.5</v>
      </c>
      <c r="J14" s="107">
        <v>3175</v>
      </c>
      <c r="K14" s="107">
        <v>4397.5</v>
      </c>
      <c r="L14" s="107">
        <v>3499.5</v>
      </c>
      <c r="M14" s="107"/>
      <c r="N14" s="107">
        <f>SUM(B14:M14)</f>
        <v>36119</v>
      </c>
    </row>
    <row r="15" spans="1:14" ht="15.6">
      <c r="A15" s="122" t="s">
        <v>406</v>
      </c>
      <c r="B15" s="107">
        <v>10725</v>
      </c>
      <c r="C15" s="114">
        <v>12492.5</v>
      </c>
      <c r="D15" s="107">
        <v>17802.5</v>
      </c>
      <c r="E15" s="129">
        <v>14972.5</v>
      </c>
      <c r="F15" s="107">
        <v>12240</v>
      </c>
      <c r="G15" s="107">
        <v>8505</v>
      </c>
      <c r="H15" s="107">
        <v>11433.5</v>
      </c>
      <c r="I15" s="107">
        <v>9304.5</v>
      </c>
      <c r="J15" s="107">
        <v>15805</v>
      </c>
      <c r="K15" s="107">
        <v>10015.5</v>
      </c>
      <c r="L15" s="107">
        <v>10265</v>
      </c>
      <c r="M15" s="107"/>
      <c r="N15" s="107">
        <f>SUM(B15:M15)</f>
        <v>133561</v>
      </c>
    </row>
    <row r="16" spans="1:14" ht="15.6">
      <c r="A16" s="122"/>
      <c r="B16" s="107"/>
      <c r="C16" s="107"/>
      <c r="D16" s="498"/>
      <c r="E16" s="498"/>
      <c r="F16" s="498"/>
      <c r="G16" s="498"/>
      <c r="H16" s="124"/>
      <c r="I16" s="124"/>
      <c r="J16" s="124"/>
      <c r="K16" s="107"/>
      <c r="L16" s="107"/>
      <c r="M16" s="107"/>
      <c r="N16" s="107"/>
    </row>
    <row r="17" spans="1:14" ht="15.6">
      <c r="A17" s="122"/>
      <c r="B17" s="107"/>
      <c r="C17" s="107"/>
      <c r="D17" s="107"/>
      <c r="E17" s="107"/>
      <c r="F17" s="107"/>
      <c r="G17" s="107"/>
      <c r="H17" s="124"/>
      <c r="I17" s="124"/>
      <c r="J17" s="124"/>
      <c r="K17" s="107"/>
      <c r="L17" s="107"/>
      <c r="M17" s="107"/>
      <c r="N17" s="107"/>
    </row>
    <row r="18" spans="1:14" ht="15.6">
      <c r="A18" s="108" t="s">
        <v>294</v>
      </c>
      <c r="B18" s="116">
        <f t="shared" ref="B18:N18" si="1">SUM(B12:B17)</f>
        <v>122579</v>
      </c>
      <c r="C18" s="116">
        <f t="shared" si="1"/>
        <v>92472.75</v>
      </c>
      <c r="D18" s="116">
        <f t="shared" si="1"/>
        <v>193976</v>
      </c>
      <c r="E18" s="116">
        <f t="shared" si="1"/>
        <v>252662.45</v>
      </c>
      <c r="F18" s="116">
        <f t="shared" si="1"/>
        <v>251538</v>
      </c>
      <c r="G18" s="116">
        <f t="shared" si="1"/>
        <v>184019.5</v>
      </c>
      <c r="H18" s="116">
        <f t="shared" si="1"/>
        <v>187752.2</v>
      </c>
      <c r="I18" s="116">
        <f t="shared" si="1"/>
        <v>141930.5</v>
      </c>
      <c r="J18" s="116">
        <f t="shared" si="1"/>
        <v>144885.29999999999</v>
      </c>
      <c r="K18" s="116">
        <f t="shared" si="1"/>
        <v>147448</v>
      </c>
      <c r="L18" s="116">
        <f t="shared" si="1"/>
        <v>152888.5</v>
      </c>
      <c r="M18" s="116">
        <f t="shared" si="1"/>
        <v>0</v>
      </c>
      <c r="N18" s="116">
        <f t="shared" si="1"/>
        <v>1872152.2</v>
      </c>
    </row>
    <row r="19" spans="1:14" ht="15.6">
      <c r="A19" s="122"/>
      <c r="B19" s="107"/>
      <c r="C19" s="107"/>
      <c r="D19" s="107"/>
      <c r="E19" s="107"/>
      <c r="F19" s="107"/>
      <c r="G19" s="107"/>
      <c r="H19" s="107"/>
      <c r="I19" s="107"/>
      <c r="J19" s="107"/>
      <c r="K19" s="107"/>
      <c r="L19" s="107"/>
      <c r="M19" s="107"/>
      <c r="N19" s="107"/>
    </row>
    <row r="20" spans="1:14" ht="15.6">
      <c r="A20" s="106" t="s">
        <v>293</v>
      </c>
      <c r="B20" s="107"/>
      <c r="C20" s="107"/>
      <c r="D20" s="107"/>
      <c r="E20" s="107"/>
      <c r="F20" s="107"/>
      <c r="G20" s="107"/>
      <c r="H20" s="107"/>
      <c r="I20" s="107"/>
      <c r="J20" s="107"/>
      <c r="K20" s="107"/>
      <c r="L20" s="107"/>
      <c r="M20" s="107"/>
      <c r="N20" s="107"/>
    </row>
    <row r="21" spans="1:14" ht="15.6">
      <c r="A21" s="499"/>
      <c r="B21" s="107"/>
      <c r="C21" s="107"/>
      <c r="D21" s="107"/>
      <c r="E21" s="107"/>
      <c r="F21" s="107"/>
      <c r="G21" s="107"/>
      <c r="H21" s="107"/>
      <c r="I21" s="107"/>
      <c r="J21" s="107"/>
      <c r="K21" s="107"/>
      <c r="L21" s="107"/>
      <c r="M21" s="107"/>
      <c r="N21" s="107"/>
    </row>
    <row r="22" spans="1:14" s="467" customFormat="1" ht="15.6">
      <c r="A22" s="499" t="s">
        <v>407</v>
      </c>
      <c r="B22" s="114">
        <v>0</v>
      </c>
      <c r="C22" s="114">
        <v>0</v>
      </c>
      <c r="D22" s="114">
        <v>0</v>
      </c>
      <c r="E22" s="114">
        <v>0</v>
      </c>
      <c r="F22" s="114">
        <v>0</v>
      </c>
      <c r="G22" s="114">
        <v>0</v>
      </c>
      <c r="H22" s="114">
        <v>0</v>
      </c>
      <c r="I22" s="114">
        <v>0</v>
      </c>
      <c r="J22" s="114">
        <v>0</v>
      </c>
      <c r="K22" s="114"/>
      <c r="L22" s="114"/>
      <c r="M22" s="114"/>
      <c r="N22" s="114">
        <f>SUM(B22:M22)</f>
        <v>0</v>
      </c>
    </row>
    <row r="23" spans="1:14" ht="15.6">
      <c r="A23" s="131"/>
      <c r="B23" s="107"/>
      <c r="C23" s="107"/>
      <c r="D23" s="107"/>
      <c r="E23" s="107"/>
      <c r="F23" s="107"/>
      <c r="G23" s="107"/>
      <c r="H23" s="107"/>
      <c r="I23" s="107"/>
      <c r="J23" s="107"/>
      <c r="K23" s="107"/>
      <c r="L23" s="107"/>
      <c r="M23" s="107"/>
      <c r="N23" s="107"/>
    </row>
    <row r="24" spans="1:14" ht="15.6">
      <c r="A24" s="131"/>
      <c r="B24" s="107"/>
      <c r="C24" s="107"/>
      <c r="D24" s="107"/>
      <c r="E24" s="107"/>
      <c r="F24" s="107"/>
      <c r="G24" s="107"/>
      <c r="H24" s="107"/>
      <c r="I24" s="107"/>
      <c r="J24" s="107"/>
      <c r="K24" s="107"/>
      <c r="L24" s="107"/>
      <c r="M24" s="107"/>
      <c r="N24" s="107"/>
    </row>
    <row r="25" spans="1:14" ht="15.6">
      <c r="A25" s="106" t="s">
        <v>291</v>
      </c>
      <c r="B25" s="116">
        <f t="shared" ref="B25:M25" si="2">SUM(B21:B24)</f>
        <v>0</v>
      </c>
      <c r="C25" s="116">
        <f t="shared" si="2"/>
        <v>0</v>
      </c>
      <c r="D25" s="116">
        <f t="shared" si="2"/>
        <v>0</v>
      </c>
      <c r="E25" s="116">
        <f t="shared" si="2"/>
        <v>0</v>
      </c>
      <c r="F25" s="116">
        <f t="shared" si="2"/>
        <v>0</v>
      </c>
      <c r="G25" s="116">
        <f t="shared" si="2"/>
        <v>0</v>
      </c>
      <c r="H25" s="116">
        <f t="shared" si="2"/>
        <v>0</v>
      </c>
      <c r="I25" s="116">
        <f t="shared" si="2"/>
        <v>0</v>
      </c>
      <c r="J25" s="116">
        <f t="shared" si="2"/>
        <v>0</v>
      </c>
      <c r="K25" s="116">
        <f t="shared" si="2"/>
        <v>0</v>
      </c>
      <c r="L25" s="116">
        <f t="shared" si="2"/>
        <v>0</v>
      </c>
      <c r="M25" s="116">
        <f t="shared" si="2"/>
        <v>0</v>
      </c>
      <c r="N25" s="116">
        <f>SUM(B25:M25)</f>
        <v>0</v>
      </c>
    </row>
    <row r="26" spans="1:14" ht="15.6">
      <c r="A26" s="122"/>
      <c r="B26" s="107"/>
      <c r="C26" s="107"/>
      <c r="D26" s="107"/>
      <c r="E26" s="107"/>
      <c r="F26" s="107"/>
      <c r="G26" s="107"/>
      <c r="H26" s="107"/>
      <c r="I26" s="107"/>
      <c r="J26" s="107"/>
      <c r="K26" s="107"/>
      <c r="L26" s="107"/>
      <c r="M26" s="107"/>
      <c r="N26" s="107"/>
    </row>
    <row r="27" spans="1:14" ht="16.2" thickBot="1">
      <c r="A27" s="487" t="s">
        <v>290</v>
      </c>
      <c r="B27" s="496">
        <f t="shared" ref="B27:M27" si="3">+B9+B18+B25</f>
        <v>122579</v>
      </c>
      <c r="C27" s="496">
        <f t="shared" si="3"/>
        <v>92472.75</v>
      </c>
      <c r="D27" s="496">
        <f t="shared" si="3"/>
        <v>193976</v>
      </c>
      <c r="E27" s="496">
        <f t="shared" si="3"/>
        <v>252662.45</v>
      </c>
      <c r="F27" s="496">
        <f t="shared" si="3"/>
        <v>251538</v>
      </c>
      <c r="G27" s="496">
        <f t="shared" si="3"/>
        <v>184019.5</v>
      </c>
      <c r="H27" s="496">
        <f t="shared" si="3"/>
        <v>187752.2</v>
      </c>
      <c r="I27" s="496">
        <f t="shared" si="3"/>
        <v>141930.5</v>
      </c>
      <c r="J27" s="496">
        <f t="shared" si="3"/>
        <v>144885.29999999999</v>
      </c>
      <c r="K27" s="496">
        <f t="shared" si="3"/>
        <v>147448</v>
      </c>
      <c r="L27" s="496">
        <f t="shared" si="3"/>
        <v>152888.5</v>
      </c>
      <c r="M27" s="496">
        <f t="shared" si="3"/>
        <v>0</v>
      </c>
      <c r="N27" s="496">
        <f>+N18+N25</f>
        <v>1872152.2</v>
      </c>
    </row>
    <row r="28" spans="1:14" ht="15.6">
      <c r="A28" s="132"/>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01"/>
      <c r="D36" s="101"/>
      <c r="E36" s="101"/>
      <c r="F36" s="101"/>
      <c r="G36" s="101"/>
      <c r="H36" s="101"/>
      <c r="I36" s="101"/>
      <c r="J36" s="101"/>
      <c r="K36" s="101"/>
      <c r="L36" s="101"/>
      <c r="M36" s="101"/>
      <c r="N36" s="101"/>
    </row>
    <row r="37" spans="1:14" ht="15.6">
      <c r="A37" s="132"/>
      <c r="B37" s="101"/>
      <c r="C37" s="101"/>
      <c r="D37" s="101"/>
      <c r="E37" s="101"/>
      <c r="F37" s="101"/>
      <c r="G37" s="101"/>
      <c r="H37" s="101"/>
      <c r="I37" s="101"/>
      <c r="J37" s="101"/>
      <c r="K37" s="101"/>
      <c r="L37" s="101"/>
      <c r="M37" s="101"/>
      <c r="N37" s="101"/>
    </row>
    <row r="38" spans="1:14" ht="15.6">
      <c r="A38" s="132"/>
      <c r="B38" s="101"/>
      <c r="C38" s="101"/>
      <c r="D38" s="101"/>
      <c r="E38" s="101"/>
      <c r="F38" s="101"/>
      <c r="G38" s="101"/>
      <c r="H38" s="101"/>
      <c r="I38" s="101"/>
      <c r="J38" s="101"/>
      <c r="K38" s="101"/>
      <c r="L38" s="101"/>
      <c r="M38" s="101"/>
      <c r="N38" s="101"/>
    </row>
    <row r="39" spans="1:14" ht="15.6">
      <c r="A39" s="132"/>
      <c r="B39" s="101"/>
      <c r="C39" s="101"/>
      <c r="D39" s="101"/>
      <c r="E39" s="101"/>
      <c r="F39" s="101"/>
      <c r="G39" s="101"/>
      <c r="H39" s="101"/>
      <c r="I39" s="101"/>
      <c r="J39" s="101"/>
      <c r="K39" s="101"/>
      <c r="L39" s="101"/>
      <c r="M39" s="101"/>
      <c r="N39" s="101"/>
    </row>
    <row r="40" spans="1:14" ht="15.6">
      <c r="A40" s="132"/>
      <c r="B40" s="101"/>
      <c r="C40" s="101"/>
      <c r="D40" s="101"/>
      <c r="E40" s="101"/>
      <c r="F40" s="101"/>
      <c r="G40" s="101"/>
      <c r="H40" s="101"/>
      <c r="I40" s="101"/>
      <c r="J40" s="101"/>
      <c r="K40" s="101"/>
      <c r="L40" s="101"/>
      <c r="M40" s="101"/>
      <c r="N40" s="101"/>
    </row>
    <row r="41" spans="1:14" ht="15.6">
      <c r="A41" s="132"/>
      <c r="B41" s="101"/>
      <c r="C41" s="101"/>
      <c r="D41" s="101"/>
      <c r="E41" s="101"/>
      <c r="F41" s="101"/>
      <c r="G41" s="101"/>
      <c r="H41" s="101"/>
      <c r="I41" s="101"/>
      <c r="J41" s="101"/>
      <c r="K41" s="101"/>
      <c r="L41" s="101"/>
      <c r="M41" s="101"/>
      <c r="N41" s="101"/>
    </row>
    <row r="42" spans="1:14" ht="15.6">
      <c r="A42" s="132"/>
      <c r="B42" s="101"/>
      <c r="C42" s="101"/>
      <c r="D42" s="101"/>
      <c r="E42" s="101"/>
      <c r="F42" s="101"/>
      <c r="G42" s="101"/>
      <c r="H42" s="101"/>
      <c r="I42" s="101"/>
      <c r="J42" s="101"/>
      <c r="K42" s="101"/>
      <c r="L42" s="101"/>
      <c r="M42" s="101"/>
      <c r="N42" s="101"/>
    </row>
    <row r="43" spans="1:14" ht="15.6">
      <c r="A43" s="132"/>
      <c r="B43" s="101"/>
      <c r="C43" s="101"/>
      <c r="D43" s="101"/>
      <c r="E43" s="101"/>
      <c r="F43" s="101"/>
      <c r="G43" s="101"/>
      <c r="H43" s="101"/>
      <c r="I43" s="101"/>
      <c r="J43" s="101"/>
      <c r="K43" s="101"/>
      <c r="L43" s="101"/>
      <c r="M43" s="101"/>
      <c r="N43" s="101"/>
    </row>
    <row r="44" spans="1:14" ht="15.6">
      <c r="A44" s="132"/>
      <c r="B44" s="101"/>
      <c r="C44" s="101"/>
      <c r="D44" s="101"/>
      <c r="E44" s="101"/>
      <c r="F44" s="101"/>
      <c r="G44" s="101"/>
      <c r="H44" s="101"/>
      <c r="I44" s="101"/>
      <c r="J44" s="101"/>
      <c r="K44" s="101"/>
      <c r="L44" s="101"/>
      <c r="M44" s="101"/>
      <c r="N44" s="101"/>
    </row>
    <row r="45" spans="1:14" ht="15.6">
      <c r="A45" s="132"/>
      <c r="B45" s="101"/>
      <c r="C45" s="101"/>
      <c r="D45" s="101"/>
      <c r="E45" s="101"/>
      <c r="F45" s="101"/>
      <c r="G45" s="101"/>
      <c r="H45" s="101"/>
      <c r="I45" s="101"/>
      <c r="J45" s="101"/>
      <c r="K45" s="101"/>
      <c r="L45" s="101"/>
      <c r="M45" s="101"/>
      <c r="N45"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9"/>
  <sheetViews>
    <sheetView zoomScale="80" zoomScaleNormal="80" zoomScaleSheetLayoutView="80" workbookViewId="0">
      <pane ySplit="6" topLeftCell="A7" activePane="bottomLeft" state="frozen"/>
      <selection activeCell="F14" sqref="F14"/>
      <selection pane="bottomLeft" activeCell="H18" sqref="H18"/>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1" width="15.5546875" style="11" bestFit="1" customWidth="1"/>
    <col min="12" max="12" width="16.88671875" style="11" bestFit="1" customWidth="1"/>
    <col min="13" max="13" width="17.6640625" style="11" bestFit="1" customWidth="1"/>
    <col min="14" max="14" width="13.6640625" style="11" bestFit="1" customWidth="1"/>
    <col min="15" max="16384" width="11.44140625" style="11"/>
  </cols>
  <sheetData>
    <row r="1" spans="1:14" s="10" customFormat="1" ht="16.2">
      <c r="A1" s="267" t="s">
        <v>3</v>
      </c>
      <c r="B1" s="267"/>
      <c r="C1" s="267"/>
      <c r="D1" s="267"/>
      <c r="E1" s="267"/>
      <c r="F1" s="267"/>
      <c r="G1" s="267"/>
      <c r="H1" s="267"/>
      <c r="I1" s="267"/>
      <c r="J1" s="267"/>
      <c r="K1" s="267"/>
      <c r="L1" s="267"/>
    </row>
    <row r="2" spans="1:14" s="9" customFormat="1" ht="15.6">
      <c r="A2" s="268" t="s">
        <v>259</v>
      </c>
      <c r="B2" s="268"/>
      <c r="C2" s="268"/>
      <c r="D2" s="268"/>
      <c r="E2" s="268"/>
      <c r="F2" s="268"/>
      <c r="G2" s="268"/>
      <c r="H2" s="268"/>
      <c r="I2" s="268"/>
      <c r="J2" s="268"/>
      <c r="K2" s="268"/>
      <c r="L2" s="268"/>
    </row>
    <row r="3" spans="1:14" s="9" customFormat="1" ht="15.6">
      <c r="A3" s="188" t="s">
        <v>424</v>
      </c>
      <c r="B3" s="268"/>
      <c r="C3" s="268"/>
      <c r="D3" s="268"/>
      <c r="E3" s="268"/>
      <c r="F3" s="268"/>
      <c r="G3" s="268"/>
      <c r="H3" s="268"/>
      <c r="I3" s="268"/>
      <c r="J3" s="268"/>
      <c r="K3" s="268"/>
      <c r="L3" s="268"/>
    </row>
    <row r="4" spans="1:14" s="9" customFormat="1" ht="15.6">
      <c r="A4" s="188"/>
      <c r="B4" s="268"/>
      <c r="C4" s="268"/>
      <c r="D4" s="268"/>
      <c r="E4" s="268"/>
      <c r="F4" s="268"/>
      <c r="G4" s="268"/>
      <c r="H4" s="268"/>
      <c r="I4" s="268"/>
      <c r="J4" s="268"/>
      <c r="K4" s="268"/>
      <c r="L4" s="268"/>
    </row>
    <row r="5" spans="1:14" s="8" customFormat="1" ht="15.6">
      <c r="A5" s="269"/>
      <c r="B5" s="269"/>
      <c r="C5" s="269"/>
      <c r="D5" s="269"/>
      <c r="E5" s="269"/>
      <c r="F5" s="270"/>
      <c r="G5" s="270"/>
      <c r="H5" s="270"/>
      <c r="I5" s="269"/>
      <c r="J5" s="269"/>
      <c r="K5" s="269"/>
      <c r="L5" s="269"/>
    </row>
    <row r="6" spans="1:14" s="28" customFormat="1" ht="32.25" customHeight="1">
      <c r="A6" s="271"/>
      <c r="B6" s="271" t="s">
        <v>41</v>
      </c>
      <c r="C6" s="271" t="s">
        <v>31</v>
      </c>
      <c r="D6" s="271" t="s">
        <v>169</v>
      </c>
      <c r="E6" s="271" t="s">
        <v>173</v>
      </c>
      <c r="F6" s="271" t="s">
        <v>251</v>
      </c>
      <c r="G6" s="271" t="s">
        <v>168</v>
      </c>
      <c r="H6" s="271" t="s">
        <v>33</v>
      </c>
      <c r="I6" s="271" t="s">
        <v>49</v>
      </c>
      <c r="J6" s="271" t="s">
        <v>50</v>
      </c>
      <c r="K6" s="271" t="s">
        <v>34</v>
      </c>
      <c r="L6" s="271" t="s">
        <v>35</v>
      </c>
      <c r="M6" s="272"/>
    </row>
    <row r="7" spans="1:14" s="29" customFormat="1" ht="18" customHeight="1">
      <c r="A7" s="552" t="s">
        <v>42</v>
      </c>
      <c r="B7" s="553"/>
      <c r="C7" s="273"/>
      <c r="D7" s="273"/>
      <c r="E7" s="274"/>
      <c r="F7" s="274"/>
      <c r="G7" s="274"/>
      <c r="H7" s="274"/>
      <c r="I7" s="273"/>
      <c r="J7" s="273"/>
      <c r="K7" s="273"/>
      <c r="L7" s="273"/>
      <c r="M7" s="275"/>
    </row>
    <row r="8" spans="1:14" s="29" customFormat="1" ht="18" customHeight="1">
      <c r="A8" s="276" t="s">
        <v>234</v>
      </c>
      <c r="B8" s="277" t="s">
        <v>177</v>
      </c>
      <c r="C8" s="278">
        <v>10594848</v>
      </c>
      <c r="D8" s="278">
        <f>I8-C8</f>
        <v>2001892</v>
      </c>
      <c r="E8" s="278">
        <v>1947020</v>
      </c>
      <c r="F8" s="279" t="s">
        <v>384</v>
      </c>
      <c r="G8" s="278">
        <v>54872</v>
      </c>
      <c r="H8" s="279" t="s">
        <v>215</v>
      </c>
      <c r="I8" s="278">
        <v>12596740</v>
      </c>
      <c r="J8" s="278">
        <v>8038145.1200000048</v>
      </c>
      <c r="K8" s="278">
        <v>12240953</v>
      </c>
      <c r="L8" s="278">
        <v>355787</v>
      </c>
      <c r="M8" s="280">
        <f>E8+G8-D8</f>
        <v>0</v>
      </c>
      <c r="N8" s="30"/>
    </row>
    <row r="9" spans="1:14" s="29" customFormat="1" ht="18" customHeight="1">
      <c r="A9" s="276" t="s">
        <v>235</v>
      </c>
      <c r="B9" s="277" t="s">
        <v>178</v>
      </c>
      <c r="C9" s="278">
        <f>7793465</f>
        <v>7793465</v>
      </c>
      <c r="D9" s="278">
        <f t="shared" ref="D9:D20" si="0">I9-C9</f>
        <v>20084989</v>
      </c>
      <c r="E9" s="278">
        <v>20081654</v>
      </c>
      <c r="F9" s="279" t="s">
        <v>284</v>
      </c>
      <c r="G9" s="278">
        <v>3335</v>
      </c>
      <c r="H9" s="279" t="s">
        <v>215</v>
      </c>
      <c r="I9" s="278">
        <v>27878454</v>
      </c>
      <c r="J9" s="278">
        <v>1714299.4399999995</v>
      </c>
      <c r="K9" s="278">
        <v>5723566</v>
      </c>
      <c r="L9" s="278">
        <v>22154888</v>
      </c>
      <c r="M9" s="280">
        <f t="shared" ref="M9:M30" si="1">E9+G9-D9</f>
        <v>0</v>
      </c>
      <c r="N9" s="137"/>
    </row>
    <row r="10" spans="1:14" s="29" customFormat="1" ht="18" customHeight="1">
      <c r="A10" s="276" t="s">
        <v>236</v>
      </c>
      <c r="B10" s="277" t="s">
        <v>179</v>
      </c>
      <c r="C10" s="278">
        <v>2374352</v>
      </c>
      <c r="D10" s="278">
        <f t="shared" si="0"/>
        <v>136668</v>
      </c>
      <c r="E10" s="278">
        <v>137239</v>
      </c>
      <c r="F10" s="279" t="s">
        <v>381</v>
      </c>
      <c r="G10" s="278">
        <v>-571</v>
      </c>
      <c r="H10" s="279" t="s">
        <v>215</v>
      </c>
      <c r="I10" s="278">
        <v>2511020</v>
      </c>
      <c r="J10" s="278">
        <v>2310875.1899999995</v>
      </c>
      <c r="K10" s="278">
        <v>2335011</v>
      </c>
      <c r="L10" s="278">
        <v>176009</v>
      </c>
      <c r="M10" s="280">
        <f t="shared" si="1"/>
        <v>0</v>
      </c>
    </row>
    <row r="11" spans="1:14" s="29" customFormat="1" ht="18" customHeight="1">
      <c r="A11" s="276" t="s">
        <v>237</v>
      </c>
      <c r="B11" s="277" t="s">
        <v>180</v>
      </c>
      <c r="C11" s="278">
        <v>886093</v>
      </c>
      <c r="D11" s="278">
        <f>I11-C11</f>
        <v>6299179</v>
      </c>
      <c r="E11" s="278">
        <v>6299179</v>
      </c>
      <c r="F11" s="281" t="s">
        <v>285</v>
      </c>
      <c r="G11" s="278">
        <v>0</v>
      </c>
      <c r="H11" s="281"/>
      <c r="I11" s="278">
        <v>7185272</v>
      </c>
      <c r="J11" s="278">
        <v>1568191.8699999999</v>
      </c>
      <c r="K11" s="278">
        <v>3577680</v>
      </c>
      <c r="L11" s="278">
        <v>3607592</v>
      </c>
      <c r="M11" s="280">
        <f>E11+G11-D11</f>
        <v>0</v>
      </c>
    </row>
    <row r="12" spans="1:14" s="29" customFormat="1" ht="18" customHeight="1">
      <c r="A12" s="276" t="s">
        <v>238</v>
      </c>
      <c r="B12" s="277" t="s">
        <v>181</v>
      </c>
      <c r="C12" s="278">
        <v>10549157</v>
      </c>
      <c r="D12" s="278">
        <f t="shared" si="0"/>
        <v>5794510</v>
      </c>
      <c r="E12" s="278">
        <v>6066274</v>
      </c>
      <c r="F12" s="279" t="s">
        <v>284</v>
      </c>
      <c r="G12" s="278">
        <v>-271764</v>
      </c>
      <c r="H12" s="279" t="s">
        <v>215</v>
      </c>
      <c r="I12" s="278">
        <v>16343667</v>
      </c>
      <c r="J12" s="278">
        <v>7973784.1200000085</v>
      </c>
      <c r="K12" s="278">
        <v>14552480</v>
      </c>
      <c r="L12" s="278">
        <v>1791187</v>
      </c>
      <c r="M12" s="280">
        <f t="shared" si="1"/>
        <v>0</v>
      </c>
    </row>
    <row r="13" spans="1:14" s="29" customFormat="1" ht="18" customHeight="1">
      <c r="A13" s="276" t="s">
        <v>239</v>
      </c>
      <c r="B13" s="277" t="s">
        <v>220</v>
      </c>
      <c r="C13" s="278">
        <v>504897</v>
      </c>
      <c r="D13" s="278">
        <f t="shared" si="0"/>
        <v>120033</v>
      </c>
      <c r="E13" s="278">
        <v>120033</v>
      </c>
      <c r="F13" s="279" t="s">
        <v>284</v>
      </c>
      <c r="G13" s="278">
        <v>0</v>
      </c>
      <c r="H13" s="279"/>
      <c r="I13" s="278">
        <v>624930</v>
      </c>
      <c r="J13" s="278">
        <v>287470.99999999994</v>
      </c>
      <c r="K13" s="278">
        <v>359840</v>
      </c>
      <c r="L13" s="278">
        <v>265090</v>
      </c>
      <c r="M13" s="280">
        <f t="shared" si="1"/>
        <v>0</v>
      </c>
    </row>
    <row r="14" spans="1:14" s="29" customFormat="1" ht="18" customHeight="1">
      <c r="A14" s="276" t="s">
        <v>240</v>
      </c>
      <c r="B14" s="277" t="s">
        <v>265</v>
      </c>
      <c r="C14" s="278">
        <v>736760</v>
      </c>
      <c r="D14" s="278">
        <f t="shared" si="0"/>
        <v>1964000</v>
      </c>
      <c r="E14" s="278">
        <v>1964000</v>
      </c>
      <c r="F14" s="279" t="s">
        <v>285</v>
      </c>
      <c r="G14" s="278">
        <v>0</v>
      </c>
      <c r="H14" s="279"/>
      <c r="I14" s="278">
        <v>2700760</v>
      </c>
      <c r="J14" s="278">
        <v>0</v>
      </c>
      <c r="K14" s="278">
        <v>2700760</v>
      </c>
      <c r="L14" s="278">
        <v>0</v>
      </c>
      <c r="M14" s="280">
        <f>E14+G14-D14</f>
        <v>0</v>
      </c>
    </row>
    <row r="15" spans="1:14" s="29" customFormat="1" ht="18" customHeight="1">
      <c r="A15" s="276" t="s">
        <v>241</v>
      </c>
      <c r="B15" s="277" t="s">
        <v>222</v>
      </c>
      <c r="C15" s="278">
        <v>354585</v>
      </c>
      <c r="D15" s="278">
        <f t="shared" si="0"/>
        <v>1376940</v>
      </c>
      <c r="E15" s="278">
        <v>1298876</v>
      </c>
      <c r="F15" s="279" t="s">
        <v>284</v>
      </c>
      <c r="G15" s="278">
        <v>78064</v>
      </c>
      <c r="H15" s="279" t="s">
        <v>215</v>
      </c>
      <c r="I15" s="278">
        <v>1731525</v>
      </c>
      <c r="J15" s="278">
        <v>0</v>
      </c>
      <c r="K15" s="278">
        <v>1125750</v>
      </c>
      <c r="L15" s="278">
        <v>605775</v>
      </c>
      <c r="M15" s="280">
        <f>E15+G15-D15</f>
        <v>0</v>
      </c>
    </row>
    <row r="16" spans="1:14" s="29" customFormat="1" ht="18" customHeight="1">
      <c r="A16" s="276" t="s">
        <v>242</v>
      </c>
      <c r="B16" s="277" t="s">
        <v>221</v>
      </c>
      <c r="C16" s="278">
        <v>0</v>
      </c>
      <c r="D16" s="278">
        <f t="shared" si="0"/>
        <v>2738698</v>
      </c>
      <c r="E16" s="278">
        <v>2738698</v>
      </c>
      <c r="F16" s="281" t="s">
        <v>284</v>
      </c>
      <c r="G16" s="278">
        <v>0</v>
      </c>
      <c r="H16" s="281"/>
      <c r="I16" s="278">
        <v>2738698</v>
      </c>
      <c r="J16" s="278">
        <v>1482914.6400000001</v>
      </c>
      <c r="K16" s="278">
        <v>2044455</v>
      </c>
      <c r="L16" s="278">
        <v>694243</v>
      </c>
      <c r="M16" s="280">
        <f t="shared" si="1"/>
        <v>0</v>
      </c>
    </row>
    <row r="17" spans="1:13" s="29" customFormat="1" ht="18" customHeight="1">
      <c r="A17" s="276" t="s">
        <v>243</v>
      </c>
      <c r="B17" s="277" t="s">
        <v>223</v>
      </c>
      <c r="C17" s="278">
        <v>0</v>
      </c>
      <c r="D17" s="278">
        <f t="shared" si="0"/>
        <v>993888</v>
      </c>
      <c r="E17" s="278">
        <v>1092400</v>
      </c>
      <c r="F17" s="281" t="s">
        <v>285</v>
      </c>
      <c r="G17" s="278">
        <v>-98512</v>
      </c>
      <c r="H17" s="279" t="s">
        <v>215</v>
      </c>
      <c r="I17" s="278">
        <v>993888</v>
      </c>
      <c r="J17" s="278">
        <v>0</v>
      </c>
      <c r="K17" s="278">
        <v>0</v>
      </c>
      <c r="L17" s="278">
        <v>993888</v>
      </c>
      <c r="M17" s="280">
        <f t="shared" si="1"/>
        <v>0</v>
      </c>
    </row>
    <row r="18" spans="1:13" s="31" customFormat="1" ht="18" customHeight="1">
      <c r="A18" s="276" t="s">
        <v>244</v>
      </c>
      <c r="B18" s="277" t="s">
        <v>224</v>
      </c>
      <c r="C18" s="278">
        <v>450000</v>
      </c>
      <c r="D18" s="278">
        <f t="shared" si="0"/>
        <v>413007</v>
      </c>
      <c r="E18" s="278">
        <v>413007</v>
      </c>
      <c r="F18" s="281" t="s">
        <v>284</v>
      </c>
      <c r="G18" s="278">
        <v>0</v>
      </c>
      <c r="H18" s="281"/>
      <c r="I18" s="278">
        <v>863007</v>
      </c>
      <c r="J18" s="278">
        <v>559081.99999999965</v>
      </c>
      <c r="K18" s="278">
        <v>863007</v>
      </c>
      <c r="L18" s="278">
        <v>0</v>
      </c>
      <c r="M18" s="280">
        <f t="shared" si="1"/>
        <v>0</v>
      </c>
    </row>
    <row r="19" spans="1:13" s="31" customFormat="1" ht="18" customHeight="1">
      <c r="A19" s="276" t="s">
        <v>245</v>
      </c>
      <c r="B19" s="277" t="s">
        <v>132</v>
      </c>
      <c r="C19" s="278">
        <v>6188796</v>
      </c>
      <c r="D19" s="278">
        <f t="shared" si="0"/>
        <v>1650362</v>
      </c>
      <c r="E19" s="278">
        <v>1981757</v>
      </c>
      <c r="F19" s="281" t="s">
        <v>384</v>
      </c>
      <c r="G19" s="278">
        <v>-331395</v>
      </c>
      <c r="H19" s="279" t="s">
        <v>215</v>
      </c>
      <c r="I19" s="278">
        <v>7839158</v>
      </c>
      <c r="J19" s="278">
        <v>3169093.32</v>
      </c>
      <c r="K19" s="278">
        <v>4353446</v>
      </c>
      <c r="L19" s="278">
        <v>3485712</v>
      </c>
      <c r="M19" s="280">
        <f t="shared" si="1"/>
        <v>0</v>
      </c>
    </row>
    <row r="20" spans="1:13" s="31" customFormat="1" ht="15.6">
      <c r="A20" s="276" t="s">
        <v>288</v>
      </c>
      <c r="B20" s="277" t="s">
        <v>333</v>
      </c>
      <c r="C20" s="278">
        <v>0</v>
      </c>
      <c r="D20" s="278">
        <f t="shared" si="0"/>
        <v>1410607</v>
      </c>
      <c r="E20" s="278">
        <v>1410607</v>
      </c>
      <c r="F20" s="281" t="s">
        <v>284</v>
      </c>
      <c r="G20" s="278">
        <v>0</v>
      </c>
      <c r="H20" s="281"/>
      <c r="I20" s="278">
        <v>1410607</v>
      </c>
      <c r="J20" s="278">
        <v>0</v>
      </c>
      <c r="K20" s="278">
        <v>400000</v>
      </c>
      <c r="L20" s="278">
        <v>1010607</v>
      </c>
      <c r="M20" s="280">
        <f t="shared" si="1"/>
        <v>0</v>
      </c>
    </row>
    <row r="21" spans="1:13" s="32" customFormat="1" ht="18" customHeight="1">
      <c r="A21" s="282" t="s">
        <v>257</v>
      </c>
      <c r="B21" s="283"/>
      <c r="C21" s="284">
        <f>SUM(C8:C20)</f>
        <v>40432953</v>
      </c>
      <c r="D21" s="284">
        <f>SUM(D8:D20)</f>
        <v>44984773</v>
      </c>
      <c r="E21" s="284">
        <v>45550744</v>
      </c>
      <c r="F21" s="284"/>
      <c r="G21" s="284">
        <f>SUM(G8:G20)</f>
        <v>-565971</v>
      </c>
      <c r="H21" s="284"/>
      <c r="I21" s="284">
        <f>SUM(I8:I20)</f>
        <v>85417726</v>
      </c>
      <c r="J21" s="284">
        <f>SUM(J8:J20)</f>
        <v>27103856.70000001</v>
      </c>
      <c r="K21" s="284">
        <f>SUM(K8:K20)</f>
        <v>50276948</v>
      </c>
      <c r="L21" s="284">
        <f>SUM(L8:L20)</f>
        <v>35140778</v>
      </c>
      <c r="M21" s="280">
        <f t="shared" si="1"/>
        <v>0</v>
      </c>
    </row>
    <row r="22" spans="1:13" s="33" customFormat="1" ht="18" customHeight="1">
      <c r="A22" s="285"/>
      <c r="B22" s="286"/>
      <c r="C22" s="285"/>
      <c r="D22" s="285"/>
      <c r="E22" s="287"/>
      <c r="F22" s="288"/>
      <c r="G22" s="289"/>
      <c r="H22" s="288"/>
      <c r="I22" s="285"/>
      <c r="J22" s="285"/>
      <c r="K22" s="285"/>
      <c r="L22" s="285"/>
      <c r="M22" s="280">
        <f t="shared" si="1"/>
        <v>0</v>
      </c>
    </row>
    <row r="23" spans="1:13" s="31" customFormat="1" ht="18" customHeight="1" thickBot="1">
      <c r="A23" s="290" t="s">
        <v>258</v>
      </c>
      <c r="B23" s="291"/>
      <c r="C23" s="292">
        <f>C21</f>
        <v>40432953</v>
      </c>
      <c r="D23" s="292">
        <f t="shared" ref="D23:L23" si="2">D21</f>
        <v>44984773</v>
      </c>
      <c r="E23" s="292">
        <v>45550744</v>
      </c>
      <c r="F23" s="292"/>
      <c r="G23" s="292">
        <f t="shared" si="2"/>
        <v>-565971</v>
      </c>
      <c r="H23" s="292"/>
      <c r="I23" s="292">
        <f t="shared" si="2"/>
        <v>85417726</v>
      </c>
      <c r="J23" s="292">
        <f t="shared" si="2"/>
        <v>27103856.70000001</v>
      </c>
      <c r="K23" s="292">
        <f t="shared" si="2"/>
        <v>50276948</v>
      </c>
      <c r="L23" s="292">
        <f t="shared" si="2"/>
        <v>35140778</v>
      </c>
      <c r="M23" s="280">
        <f t="shared" si="1"/>
        <v>0</v>
      </c>
    </row>
    <row r="24" spans="1:13" s="31" customFormat="1" ht="18" customHeight="1" thickTop="1">
      <c r="A24" s="285"/>
      <c r="B24" s="286"/>
      <c r="C24" s="285"/>
      <c r="D24" s="285"/>
      <c r="E24" s="287"/>
      <c r="F24" s="288"/>
      <c r="G24" s="289"/>
      <c r="H24" s="288"/>
      <c r="I24" s="285"/>
      <c r="J24" s="285"/>
      <c r="K24" s="285"/>
      <c r="L24" s="285"/>
      <c r="M24" s="280">
        <f t="shared" si="1"/>
        <v>0</v>
      </c>
    </row>
    <row r="25" spans="1:13" s="29" customFormat="1" ht="18" customHeight="1">
      <c r="A25" s="285"/>
      <c r="B25" s="286"/>
      <c r="C25" s="285"/>
      <c r="D25" s="285"/>
      <c r="E25" s="287"/>
      <c r="F25" s="288"/>
      <c r="G25" s="289"/>
      <c r="H25" s="288"/>
      <c r="I25" s="285"/>
      <c r="J25" s="285"/>
      <c r="K25" s="285"/>
      <c r="L25" s="285"/>
      <c r="M25" s="280">
        <f t="shared" si="1"/>
        <v>0</v>
      </c>
    </row>
    <row r="26" spans="1:13" s="34" customFormat="1" ht="18" customHeight="1">
      <c r="A26" s="293" t="s">
        <v>43</v>
      </c>
      <c r="B26" s="294"/>
      <c r="C26" s="295"/>
      <c r="D26" s="295"/>
      <c r="E26" s="295"/>
      <c r="F26" s="296"/>
      <c r="G26" s="297"/>
      <c r="H26" s="296"/>
      <c r="I26" s="295"/>
      <c r="J26" s="295"/>
      <c r="K26" s="295"/>
      <c r="L26" s="295"/>
      <c r="M26" s="280">
        <f t="shared" si="1"/>
        <v>0</v>
      </c>
    </row>
    <row r="27" spans="1:13" s="35" customFormat="1" ht="18" customHeight="1">
      <c r="A27" s="298" t="s">
        <v>4</v>
      </c>
      <c r="B27" s="299"/>
      <c r="C27" s="278">
        <v>24933685</v>
      </c>
      <c r="D27" s="278">
        <f>I27-C27</f>
        <v>37884369</v>
      </c>
      <c r="E27" s="278">
        <v>37884369</v>
      </c>
      <c r="F27" s="279"/>
      <c r="G27" s="278">
        <v>0</v>
      </c>
      <c r="H27" s="279"/>
      <c r="I27" s="278">
        <v>62818054</v>
      </c>
      <c r="J27" s="278">
        <v>17781595.120000035</v>
      </c>
      <c r="K27" s="278">
        <v>30361631</v>
      </c>
      <c r="L27" s="278">
        <v>32456423</v>
      </c>
      <c r="M27" s="280">
        <f>E27+G27-D27</f>
        <v>0</v>
      </c>
    </row>
    <row r="28" spans="1:13" s="29" customFormat="1" ht="18" customHeight="1">
      <c r="A28" s="300"/>
      <c r="B28" s="299" t="s">
        <v>39</v>
      </c>
      <c r="C28" s="301">
        <f>C27</f>
        <v>24933685</v>
      </c>
      <c r="D28" s="301">
        <f>D27</f>
        <v>37884369</v>
      </c>
      <c r="E28" s="301">
        <v>37884369</v>
      </c>
      <c r="F28" s="302"/>
      <c r="G28" s="301">
        <f>G27</f>
        <v>0</v>
      </c>
      <c r="H28" s="302"/>
      <c r="I28" s="301">
        <f>I27</f>
        <v>62818054</v>
      </c>
      <c r="J28" s="301">
        <f>J27</f>
        <v>17781595.120000035</v>
      </c>
      <c r="K28" s="301">
        <f>K27</f>
        <v>30361631</v>
      </c>
      <c r="L28" s="301">
        <f>L27</f>
        <v>32456423</v>
      </c>
      <c r="M28" s="280">
        <f t="shared" si="1"/>
        <v>0</v>
      </c>
    </row>
    <row r="29" spans="1:13" s="29" customFormat="1" ht="18" customHeight="1">
      <c r="A29" s="303" t="s">
        <v>6</v>
      </c>
      <c r="B29" s="299"/>
      <c r="C29" s="278">
        <v>15499268</v>
      </c>
      <c r="D29" s="278">
        <f>I29-C29</f>
        <v>7100404</v>
      </c>
      <c r="E29" s="278">
        <v>7666375</v>
      </c>
      <c r="F29" s="279"/>
      <c r="G29" s="278">
        <v>-565971</v>
      </c>
      <c r="H29" s="279"/>
      <c r="I29" s="278">
        <v>22599672</v>
      </c>
      <c r="J29" s="278">
        <v>9322261.5800000075</v>
      </c>
      <c r="K29" s="278">
        <v>19915317</v>
      </c>
      <c r="L29" s="304">
        <v>2684355</v>
      </c>
      <c r="M29" s="280">
        <f t="shared" si="1"/>
        <v>0</v>
      </c>
    </row>
    <row r="30" spans="1:13" s="29" customFormat="1" ht="18" customHeight="1" thickBot="1">
      <c r="A30" s="290" t="s">
        <v>37</v>
      </c>
      <c r="B30" s="290"/>
      <c r="C30" s="292">
        <f>SUM(C28,C29)</f>
        <v>40432953</v>
      </c>
      <c r="D30" s="292">
        <f t="shared" ref="D30:L30" si="3">SUM(D28,D29)</f>
        <v>44984773</v>
      </c>
      <c r="E30" s="292">
        <v>45550744</v>
      </c>
      <c r="F30" s="292"/>
      <c r="G30" s="292">
        <f t="shared" si="3"/>
        <v>-565971</v>
      </c>
      <c r="H30" s="292"/>
      <c r="I30" s="292">
        <f t="shared" si="3"/>
        <v>85417726</v>
      </c>
      <c r="J30" s="292">
        <f t="shared" si="3"/>
        <v>27103856.70000004</v>
      </c>
      <c r="K30" s="292">
        <f t="shared" si="3"/>
        <v>50276948</v>
      </c>
      <c r="L30" s="292">
        <f t="shared" si="3"/>
        <v>35140778</v>
      </c>
      <c r="M30" s="280">
        <f t="shared" si="1"/>
        <v>0</v>
      </c>
    </row>
    <row r="31" spans="1:13" s="29" customFormat="1" ht="16.5" customHeight="1" thickTop="1">
      <c r="A31" s="294"/>
      <c r="B31" s="299"/>
      <c r="C31" s="305"/>
      <c r="D31" s="305"/>
      <c r="E31" s="305"/>
      <c r="F31" s="305"/>
      <c r="G31" s="305"/>
      <c r="H31" s="305"/>
      <c r="I31" s="305"/>
      <c r="J31" s="305"/>
      <c r="K31" s="305"/>
      <c r="L31" s="305"/>
      <c r="M31" s="280"/>
    </row>
    <row r="32" spans="1:13" s="29" customFormat="1" ht="16.5" customHeight="1">
      <c r="A32" s="306" t="s">
        <v>40</v>
      </c>
      <c r="B32" s="299"/>
      <c r="C32" s="305"/>
      <c r="D32" s="305"/>
      <c r="E32" s="305"/>
      <c r="F32" s="305"/>
      <c r="G32" s="305"/>
      <c r="H32" s="305"/>
      <c r="I32" s="305"/>
      <c r="J32" s="305"/>
      <c r="K32" s="305"/>
      <c r="L32" s="305"/>
      <c r="M32" s="275"/>
    </row>
    <row r="33" spans="1:13" s="29" customFormat="1" ht="16.5" customHeight="1">
      <c r="A33" s="307"/>
      <c r="B33" s="308"/>
      <c r="C33" s="309"/>
      <c r="D33" s="308"/>
      <c r="E33" s="308"/>
      <c r="F33" s="308"/>
      <c r="G33" s="308"/>
      <c r="H33" s="308"/>
      <c r="I33" s="308"/>
      <c r="J33" s="308"/>
      <c r="K33" s="308"/>
      <c r="L33" s="308"/>
      <c r="M33" s="275"/>
    </row>
    <row r="34" spans="1:13" s="29" customFormat="1" ht="16.5" customHeight="1">
      <c r="A34" s="307" t="s">
        <v>273</v>
      </c>
      <c r="B34" s="310" t="s">
        <v>276</v>
      </c>
      <c r="C34" s="311"/>
      <c r="D34" s="311"/>
      <c r="E34" s="311"/>
      <c r="F34" s="311"/>
      <c r="G34" s="311"/>
      <c r="H34" s="311"/>
      <c r="I34" s="311"/>
      <c r="J34" s="311"/>
      <c r="K34" s="311"/>
      <c r="L34" s="311"/>
      <c r="M34" s="275"/>
    </row>
    <row r="35" spans="1:13" s="29" customFormat="1" ht="16.5" customHeight="1">
      <c r="A35" s="307" t="s">
        <v>215</v>
      </c>
      <c r="B35" s="310" t="s">
        <v>214</v>
      </c>
      <c r="C35" s="311"/>
      <c r="D35" s="311"/>
      <c r="E35" s="311"/>
      <c r="F35" s="311"/>
      <c r="G35" s="311"/>
      <c r="H35" s="311"/>
      <c r="I35" s="311"/>
      <c r="J35" s="311"/>
      <c r="K35" s="311"/>
      <c r="L35" s="311"/>
      <c r="M35" s="275"/>
    </row>
    <row r="36" spans="1:13" s="29" customFormat="1" ht="16.5" customHeight="1">
      <c r="A36" s="307" t="s">
        <v>285</v>
      </c>
      <c r="B36" s="310" t="s">
        <v>287</v>
      </c>
      <c r="C36" s="36"/>
      <c r="D36" s="36"/>
      <c r="E36" s="36"/>
      <c r="F36" s="36"/>
      <c r="G36" s="36"/>
      <c r="H36" s="36"/>
      <c r="I36" s="36"/>
      <c r="J36" s="36"/>
      <c r="K36" s="36"/>
      <c r="L36" s="36"/>
    </row>
    <row r="37" spans="1:13" s="29" customFormat="1" ht="15.6">
      <c r="A37" s="500" t="s">
        <v>410</v>
      </c>
      <c r="B37" s="275" t="s">
        <v>418</v>
      </c>
      <c r="F37" s="37"/>
      <c r="G37" s="37"/>
      <c r="H37" s="37"/>
    </row>
    <row r="38" spans="1:13" s="29" customFormat="1" ht="14.4">
      <c r="A38" s="35"/>
      <c r="B38" s="35"/>
      <c r="F38" s="37"/>
      <c r="G38" s="37"/>
      <c r="H38" s="37"/>
    </row>
    <row r="39" spans="1:13" s="29" customFormat="1" ht="14.4">
      <c r="A39" s="61"/>
      <c r="B39" s="35"/>
      <c r="F39" s="37"/>
      <c r="G39" s="37"/>
      <c r="H39" s="37"/>
      <c r="I39" s="39"/>
    </row>
    <row r="40" spans="1:13" s="29" customFormat="1" ht="14.4">
      <c r="A40" s="61"/>
      <c r="B40" s="35"/>
      <c r="F40" s="37"/>
      <c r="G40" s="37"/>
      <c r="H40" s="37"/>
      <c r="I40" s="39"/>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4.4">
      <c r="A48" s="61"/>
      <c r="B48" s="35"/>
      <c r="F48" s="37"/>
      <c r="G48" s="37"/>
      <c r="H48" s="37"/>
    </row>
    <row r="49" spans="1:8" s="29" customFormat="1" ht="14.4">
      <c r="A49" s="61"/>
      <c r="B49" s="35"/>
      <c r="F49" s="37"/>
      <c r="G49" s="37"/>
      <c r="H49" s="37"/>
    </row>
    <row r="50" spans="1:8" s="29" customFormat="1" ht="14.4">
      <c r="A50" s="61"/>
      <c r="B50" s="35"/>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A56" s="38"/>
      <c r="F56" s="37"/>
      <c r="G56" s="37"/>
      <c r="H56" s="37"/>
    </row>
    <row r="57" spans="1:8" s="29" customFormat="1" ht="13.8">
      <c r="A57" s="38"/>
      <c r="F57" s="37"/>
      <c r="G57" s="37"/>
      <c r="H57" s="37"/>
    </row>
    <row r="58" spans="1:8" s="29" customFormat="1" ht="13.8">
      <c r="A58" s="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row r="87" spans="6:8" s="29" customFormat="1" ht="13.8">
      <c r="F87" s="37"/>
      <c r="G87" s="37"/>
      <c r="H87" s="37"/>
    </row>
    <row r="88" spans="6:8" s="29" customFormat="1" ht="13.8">
      <c r="F88" s="37"/>
      <c r="G88" s="37"/>
      <c r="H88" s="37"/>
    </row>
    <row r="89" spans="6:8" s="29" customFormat="1" ht="13.8">
      <c r="F89" s="37"/>
      <c r="G89" s="37"/>
      <c r="H89" s="37"/>
    </row>
  </sheetData>
  <mergeCells count="1">
    <mergeCell ref="A7:B7"/>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555" t="s">
        <v>3</v>
      </c>
      <c r="B1" s="555"/>
      <c r="C1" s="555"/>
      <c r="D1" s="45"/>
      <c r="E1" s="45"/>
      <c r="F1" s="45"/>
      <c r="G1" s="45"/>
      <c r="H1" s="45"/>
      <c r="I1" s="45"/>
      <c r="J1" s="45"/>
      <c r="K1" s="45"/>
      <c r="L1" s="45"/>
      <c r="M1" s="46"/>
      <c r="N1" s="47"/>
      <c r="O1" s="48"/>
      <c r="P1" s="48"/>
    </row>
    <row r="2" spans="1:16" s="9" customFormat="1" ht="15.6">
      <c r="A2" s="556" t="s">
        <v>232</v>
      </c>
      <c r="B2" s="556"/>
      <c r="C2" s="556"/>
      <c r="D2" s="49"/>
      <c r="E2" s="49"/>
      <c r="F2" s="49"/>
      <c r="G2" s="49"/>
      <c r="H2" s="49"/>
      <c r="I2" s="49"/>
      <c r="J2" s="49"/>
      <c r="K2" s="49"/>
      <c r="L2" s="49"/>
      <c r="M2" s="50"/>
      <c r="N2" s="51"/>
      <c r="O2" s="52"/>
      <c r="P2" s="52"/>
    </row>
    <row r="3" spans="1:16" s="9" customFormat="1" ht="15.6">
      <c r="A3" s="554" t="s">
        <v>231</v>
      </c>
      <c r="B3" s="554"/>
      <c r="C3" s="554"/>
      <c r="D3" s="49"/>
      <c r="E3" s="49"/>
      <c r="F3" s="49"/>
      <c r="G3" s="49"/>
      <c r="H3" s="49"/>
      <c r="I3" s="49"/>
      <c r="J3" s="49"/>
      <c r="K3" s="49"/>
      <c r="L3" s="49"/>
      <c r="M3" s="50"/>
      <c r="N3" s="51"/>
      <c r="O3" s="52"/>
      <c r="P3" s="52"/>
    </row>
    <row r="4" spans="1:16" ht="15.6" thickBot="1"/>
    <row r="5" spans="1:16" s="18" customFormat="1" ht="27.6">
      <c r="A5" s="20" t="s">
        <v>188</v>
      </c>
      <c r="B5" s="21" t="s">
        <v>174</v>
      </c>
      <c r="C5" s="22" t="s">
        <v>175</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176</v>
      </c>
      <c r="B9" s="54"/>
      <c r="C9" s="24">
        <f>SUM(C6:C8)</f>
        <v>0</v>
      </c>
    </row>
    <row r="10" spans="1:16" s="18" customFormat="1" ht="14.4">
      <c r="A10" s="53"/>
      <c r="B10" s="56"/>
      <c r="C10" s="25"/>
    </row>
    <row r="11" spans="1:16" s="18" customFormat="1" ht="27.6">
      <c r="A11" s="57" t="s">
        <v>182</v>
      </c>
      <c r="B11" s="58" t="s">
        <v>174</v>
      </c>
      <c r="C11" s="26" t="s">
        <v>175</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176</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2"/>
  <sheetViews>
    <sheetView zoomScale="80" zoomScaleNormal="80" workbookViewId="0">
      <selection activeCell="K24" sqref="K24"/>
    </sheetView>
  </sheetViews>
  <sheetFormatPr defaultRowHeight="15.6"/>
  <cols>
    <col min="1" max="1" width="7.109375" customWidth="1"/>
    <col min="2" max="2" width="77.88671875" customWidth="1"/>
    <col min="3" max="3" width="16.6640625" customWidth="1"/>
    <col min="4" max="4" width="12.109375" style="355" bestFit="1" customWidth="1"/>
    <col min="5" max="7" width="16.6640625" customWidth="1"/>
    <col min="8" max="9" width="12.33203125" customWidth="1"/>
    <col min="10" max="10" width="8.6640625" bestFit="1" customWidth="1"/>
  </cols>
  <sheetData>
    <row r="1" spans="1:56" s="310" customFormat="1" ht="16.5" customHeight="1">
      <c r="A1" s="557" t="s">
        <v>3</v>
      </c>
      <c r="B1" s="557"/>
      <c r="C1" s="557"/>
      <c r="D1" s="557"/>
      <c r="E1" s="557"/>
      <c r="F1" s="557"/>
      <c r="G1" s="510"/>
      <c r="H1" s="510"/>
      <c r="I1" s="510"/>
    </row>
    <row r="2" spans="1:56" s="310" customFormat="1" ht="16.5" customHeight="1">
      <c r="A2" s="557" t="s">
        <v>262</v>
      </c>
      <c r="B2" s="557"/>
      <c r="C2" s="557"/>
      <c r="D2" s="557"/>
      <c r="E2" s="557"/>
      <c r="F2" s="557"/>
      <c r="G2" s="510"/>
      <c r="H2" s="510"/>
      <c r="I2" s="510"/>
    </row>
    <row r="3" spans="1:56" s="310" customFormat="1" ht="16.5" customHeight="1">
      <c r="A3" s="558" t="s">
        <v>424</v>
      </c>
      <c r="B3" s="558"/>
      <c r="C3" s="558"/>
      <c r="D3" s="558"/>
      <c r="E3" s="558"/>
      <c r="F3" s="558"/>
      <c r="G3" s="510"/>
      <c r="H3" s="510"/>
      <c r="I3" s="510"/>
    </row>
    <row r="4" spans="1:56" s="310" customFormat="1">
      <c r="A4" s="559" t="s">
        <v>167</v>
      </c>
      <c r="B4" s="559"/>
      <c r="C4" s="559"/>
      <c r="D4" s="559"/>
      <c r="E4" s="559"/>
      <c r="F4" s="559"/>
    </row>
    <row r="5" spans="1:56" s="420" customFormat="1">
      <c r="E5" s="421" t="s">
        <v>167</v>
      </c>
    </row>
    <row r="6" spans="1:56" s="424" customFormat="1" ht="69" customHeight="1">
      <c r="A6" s="422"/>
      <c r="B6" s="423" t="s">
        <v>44</v>
      </c>
      <c r="C6" s="422" t="s">
        <v>263</v>
      </c>
      <c r="D6" s="422" t="s">
        <v>264</v>
      </c>
      <c r="E6" s="422" t="s">
        <v>386</v>
      </c>
      <c r="F6" s="422" t="s">
        <v>206</v>
      </c>
    </row>
    <row r="7" spans="1:56" s="310" customFormat="1">
      <c r="A7" s="425"/>
      <c r="B7" s="426"/>
      <c r="C7" s="425"/>
      <c r="D7" s="425"/>
      <c r="E7" s="425"/>
      <c r="F7" s="425"/>
    </row>
    <row r="8" spans="1:56" s="310" customFormat="1">
      <c r="A8" s="427">
        <v>1</v>
      </c>
      <c r="B8" s="428" t="s">
        <v>45</v>
      </c>
      <c r="C8" s="357">
        <v>814292</v>
      </c>
      <c r="D8" s="357">
        <v>749988</v>
      </c>
      <c r="E8" s="357">
        <v>831640.07957717718</v>
      </c>
      <c r="F8" s="429">
        <f t="shared" ref="F8:F22" si="0">+E8-C8</f>
        <v>17348.079577177181</v>
      </c>
      <c r="G8" s="430"/>
      <c r="H8" s="431"/>
      <c r="I8" s="431"/>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row>
    <row r="9" spans="1:56" s="310" customFormat="1">
      <c r="A9" s="427">
        <f t="shared" ref="A9:A22" si="1">A8+1</f>
        <v>2</v>
      </c>
      <c r="B9" s="428" t="s">
        <v>46</v>
      </c>
      <c r="C9" s="357">
        <v>287177</v>
      </c>
      <c r="D9" s="357">
        <v>273127</v>
      </c>
      <c r="E9" s="357">
        <v>298065.64925466175</v>
      </c>
      <c r="F9" s="429">
        <f t="shared" si="0"/>
        <v>10888.649254661752</v>
      </c>
      <c r="G9" s="430"/>
      <c r="H9" s="431"/>
      <c r="I9" s="431"/>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row>
    <row r="10" spans="1:56" s="310" customFormat="1">
      <c r="A10" s="427">
        <f t="shared" si="1"/>
        <v>3</v>
      </c>
      <c r="B10" s="428" t="s">
        <v>207</v>
      </c>
      <c r="C10" s="357">
        <v>113690</v>
      </c>
      <c r="D10" s="357">
        <v>102982</v>
      </c>
      <c r="E10" s="357">
        <v>113048.79851792532</v>
      </c>
      <c r="F10" s="429">
        <f t="shared" si="0"/>
        <v>-641.20148207468446</v>
      </c>
      <c r="G10" s="430"/>
      <c r="H10" s="431"/>
      <c r="I10" s="431"/>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row>
    <row r="11" spans="1:56" s="310" customFormat="1">
      <c r="A11" s="427">
        <f t="shared" si="1"/>
        <v>4</v>
      </c>
      <c r="B11" s="428" t="s">
        <v>208</v>
      </c>
      <c r="C11" s="357">
        <v>13294</v>
      </c>
      <c r="D11" s="357">
        <v>21366</v>
      </c>
      <c r="E11" s="357">
        <v>22479.08336405682</v>
      </c>
      <c r="F11" s="429">
        <f t="shared" si="0"/>
        <v>9185.0833640568198</v>
      </c>
      <c r="G11" s="430"/>
      <c r="H11" s="431"/>
      <c r="I11" s="431"/>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row>
    <row r="12" spans="1:56" s="434" customFormat="1">
      <c r="A12" s="427">
        <f t="shared" si="1"/>
        <v>5</v>
      </c>
      <c r="B12" s="428" t="s">
        <v>47</v>
      </c>
      <c r="C12" s="357">
        <v>186756</v>
      </c>
      <c r="D12" s="357">
        <v>162544</v>
      </c>
      <c r="E12" s="357">
        <v>174588.93778248836</v>
      </c>
      <c r="F12" s="429">
        <f t="shared" si="0"/>
        <v>-12167.062217511644</v>
      </c>
      <c r="G12" s="432"/>
      <c r="H12" s="433"/>
      <c r="I12" s="433"/>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row>
    <row r="13" spans="1:56" s="310" customFormat="1" ht="18.899999999999999" customHeight="1">
      <c r="A13" s="427">
        <f t="shared" si="1"/>
        <v>6</v>
      </c>
      <c r="B13" s="428" t="s">
        <v>209</v>
      </c>
      <c r="C13" s="357">
        <v>88293</v>
      </c>
      <c r="D13" s="357">
        <v>76818</v>
      </c>
      <c r="E13" s="357">
        <v>87263.876344500837</v>
      </c>
      <c r="F13" s="429">
        <f t="shared" si="0"/>
        <v>-1029.1236554991629</v>
      </c>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row>
    <row r="14" spans="1:56" s="310" customFormat="1" ht="18.899999999999999" customHeight="1">
      <c r="A14" s="427">
        <f t="shared" si="1"/>
        <v>7</v>
      </c>
      <c r="B14" s="428" t="s">
        <v>210</v>
      </c>
      <c r="C14" s="357">
        <v>14306</v>
      </c>
      <c r="D14" s="357">
        <v>11596</v>
      </c>
      <c r="E14" s="357">
        <v>12418.836913338315</v>
      </c>
      <c r="F14" s="429">
        <f t="shared" si="0"/>
        <v>-1887.1630866616852</v>
      </c>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row>
    <row r="15" spans="1:56" s="434" customFormat="1">
      <c r="A15" s="427">
        <f t="shared" si="1"/>
        <v>8</v>
      </c>
      <c r="B15" s="428" t="s">
        <v>48</v>
      </c>
      <c r="C15" s="358">
        <v>16.29</v>
      </c>
      <c r="D15" s="359">
        <v>14.889053343023148</v>
      </c>
      <c r="E15" s="360">
        <v>16.074713865993342</v>
      </c>
      <c r="F15" s="511">
        <f t="shared" si="0"/>
        <v>-0.21528613400665719</v>
      </c>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row>
    <row r="16" spans="1:56" s="310" customFormat="1" ht="18.899999999999999" customHeight="1">
      <c r="A16" s="427">
        <f t="shared" si="1"/>
        <v>9</v>
      </c>
      <c r="B16" s="428" t="s">
        <v>211</v>
      </c>
      <c r="C16" s="359">
        <v>31.5</v>
      </c>
      <c r="D16" s="359">
        <v>33.642341196045805</v>
      </c>
      <c r="E16" s="360">
        <v>34.165664092642828</v>
      </c>
      <c r="F16" s="511">
        <f t="shared" si="0"/>
        <v>2.6656640926428281</v>
      </c>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row>
    <row r="17" spans="1:56" s="310" customFormat="1" ht="18.899999999999999" customHeight="1">
      <c r="A17" s="427">
        <f t="shared" si="1"/>
        <v>10</v>
      </c>
      <c r="B17" s="428" t="s">
        <v>371</v>
      </c>
      <c r="C17" s="357">
        <v>31260</v>
      </c>
      <c r="D17" s="357">
        <v>30848.18181818182</v>
      </c>
      <c r="E17" s="361">
        <v>30860.711483333333</v>
      </c>
      <c r="F17" s="429">
        <f t="shared" si="0"/>
        <v>-399.28851666666742</v>
      </c>
      <c r="G17" s="430" t="s">
        <v>167</v>
      </c>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row>
    <row r="18" spans="1:56" s="310" customFormat="1" ht="18.899999999999999" customHeight="1">
      <c r="A18" s="427">
        <f t="shared" si="1"/>
        <v>11</v>
      </c>
      <c r="B18" s="428" t="s">
        <v>186</v>
      </c>
      <c r="C18" s="357">
        <v>16275</v>
      </c>
      <c r="D18" s="362">
        <v>16039.926047906385</v>
      </c>
      <c r="E18" s="357">
        <v>16056.233895854195</v>
      </c>
      <c r="F18" s="357">
        <f t="shared" si="0"/>
        <v>-218.766104145805</v>
      </c>
      <c r="G18" s="430" t="s">
        <v>167</v>
      </c>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row>
    <row r="19" spans="1:56" s="434" customFormat="1">
      <c r="A19" s="427">
        <f t="shared" si="1"/>
        <v>12</v>
      </c>
      <c r="B19" s="356" t="s">
        <v>387</v>
      </c>
      <c r="C19" s="357">
        <v>48668</v>
      </c>
      <c r="D19" s="362">
        <v>48473.487629270225</v>
      </c>
      <c r="E19" s="357">
        <v>48581.880159637461</v>
      </c>
      <c r="F19" s="357">
        <f t="shared" si="0"/>
        <v>-86.119840362538525</v>
      </c>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row>
    <row r="20" spans="1:56" s="434" customFormat="1">
      <c r="A20" s="427">
        <f t="shared" si="1"/>
        <v>13</v>
      </c>
      <c r="B20" s="428" t="s">
        <v>388</v>
      </c>
      <c r="C20" s="357">
        <v>5697</v>
      </c>
      <c r="D20" s="362">
        <v>6462.7276484322538</v>
      </c>
      <c r="E20" s="357">
        <v>6315.3653024454097</v>
      </c>
      <c r="F20" s="357">
        <f t="shared" si="0"/>
        <v>618.36530244540972</v>
      </c>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row>
    <row r="21" spans="1:56" s="434" customFormat="1">
      <c r="A21" s="427">
        <f t="shared" si="1"/>
        <v>14</v>
      </c>
      <c r="B21" s="428" t="s">
        <v>389</v>
      </c>
      <c r="C21" s="357">
        <v>10872</v>
      </c>
      <c r="D21" s="362">
        <v>5510.2582659961736</v>
      </c>
      <c r="E21" s="357">
        <v>5511.1838177175823</v>
      </c>
      <c r="F21" s="357">
        <f t="shared" si="0"/>
        <v>-5360.8161822824177</v>
      </c>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row>
    <row r="22" spans="1:56" s="434" customFormat="1">
      <c r="A22" s="477">
        <f t="shared" si="1"/>
        <v>15</v>
      </c>
      <c r="B22" s="478" t="s">
        <v>212</v>
      </c>
      <c r="C22" s="476">
        <v>42299</v>
      </c>
      <c r="D22" s="476">
        <v>36247</v>
      </c>
      <c r="E22" s="476">
        <v>40001.578999999998</v>
      </c>
      <c r="F22" s="476">
        <f t="shared" si="0"/>
        <v>-2297.4210000000021</v>
      </c>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row>
    <row r="23" spans="1:56" s="434" customFormat="1">
      <c r="A23" s="509"/>
      <c r="B23" s="509"/>
      <c r="C23" s="363"/>
      <c r="D23" s="435"/>
      <c r="E23" s="435"/>
      <c r="F23" s="435"/>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row>
    <row r="24" spans="1:56" s="434" customFormat="1">
      <c r="A24" s="512" t="s">
        <v>187</v>
      </c>
      <c r="B24" s="513" t="s">
        <v>420</v>
      </c>
      <c r="C24" s="435"/>
      <c r="D24" s="435"/>
      <c r="E24" s="435"/>
      <c r="F24" s="435"/>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row>
    <row r="25" spans="1:56" s="434" customFormat="1">
      <c r="A25" s="512" t="s">
        <v>213</v>
      </c>
      <c r="B25" s="509" t="s">
        <v>217</v>
      </c>
      <c r="C25" s="435"/>
      <c r="D25" s="435"/>
      <c r="E25" s="435"/>
      <c r="F25" s="435"/>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row>
    <row r="26" spans="1:56" ht="13.2">
      <c r="D26"/>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row>
    <row r="27" spans="1:56">
      <c r="A27" s="515"/>
      <c r="B27" s="516" t="s">
        <v>421</v>
      </c>
      <c r="D27"/>
    </row>
    <row r="28" spans="1:56" ht="13.2">
      <c r="D28"/>
    </row>
    <row r="29" spans="1:56">
      <c r="B29" s="355" t="s">
        <v>422</v>
      </c>
      <c r="D29"/>
    </row>
    <row r="30" spans="1:56">
      <c r="B30" s="355" t="s">
        <v>426</v>
      </c>
      <c r="D30"/>
    </row>
    <row r="31" spans="1:56">
      <c r="A31" s="427">
        <v>11</v>
      </c>
      <c r="B31" s="428" t="s">
        <v>427</v>
      </c>
      <c r="D31"/>
    </row>
    <row r="32" spans="1:56">
      <c r="A32" s="427">
        <f>A31+1</f>
        <v>12</v>
      </c>
      <c r="B32" s="428" t="s">
        <v>425</v>
      </c>
      <c r="D32"/>
    </row>
    <row r="33" spans="1:5">
      <c r="A33" s="427">
        <f t="shared" ref="A33:A34" si="2">A32+1</f>
        <v>13</v>
      </c>
      <c r="B33" s="356" t="s">
        <v>428</v>
      </c>
      <c r="D33"/>
    </row>
    <row r="34" spans="1:5">
      <c r="A34" s="427">
        <f t="shared" si="2"/>
        <v>14</v>
      </c>
      <c r="B34" s="356" t="s">
        <v>429</v>
      </c>
      <c r="D34"/>
    </row>
    <row r="36" spans="1:5">
      <c r="E36" s="436"/>
    </row>
    <row r="37" spans="1:5">
      <c r="E37" s="436"/>
    </row>
    <row r="38" spans="1:5">
      <c r="E38" s="436"/>
    </row>
    <row r="39" spans="1:5">
      <c r="E39" s="436"/>
    </row>
    <row r="40" spans="1:5">
      <c r="E40" s="436"/>
    </row>
    <row r="41" spans="1:5">
      <c r="E41" s="436"/>
    </row>
    <row r="42" spans="1:5" ht="41.25" customHeight="1">
      <c r="E42" s="436"/>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zoomScale="70" zoomScaleNormal="70" workbookViewId="0">
      <pane xSplit="2" topLeftCell="I1" activePane="topRight" state="frozen"/>
      <selection activeCell="H20" sqref="H20"/>
      <selection pane="topRight" activeCell="B10" sqref="B10"/>
    </sheetView>
  </sheetViews>
  <sheetFormatPr defaultColWidth="9.109375" defaultRowHeight="15.6"/>
  <cols>
    <col min="1" max="1" width="14.88671875" style="352" customWidth="1"/>
    <col min="2" max="2" width="89" style="132" bestFit="1" customWidth="1"/>
    <col min="3" max="3" width="16.109375" style="132" bestFit="1" customWidth="1"/>
    <col min="4" max="4" width="25" style="132" bestFit="1" customWidth="1"/>
    <col min="5" max="5" width="21.6640625" style="132" bestFit="1" customWidth="1"/>
    <col min="6" max="6" width="25.6640625" style="132" bestFit="1" customWidth="1"/>
    <col min="7" max="7" width="19.44140625" style="132" customWidth="1"/>
    <col min="8" max="8" width="24.5546875" style="132" bestFit="1" customWidth="1"/>
    <col min="9" max="9" width="23.77734375" style="132" bestFit="1" customWidth="1"/>
    <col min="10" max="10" width="27.109375" style="132" bestFit="1" customWidth="1"/>
    <col min="11" max="11" width="21.21875" style="132" bestFit="1" customWidth="1"/>
    <col min="12" max="12" width="21.33203125" style="132" bestFit="1" customWidth="1"/>
    <col min="13" max="13" width="22.21875" style="132" bestFit="1" customWidth="1"/>
    <col min="14" max="14" width="27.109375" style="132" bestFit="1" customWidth="1"/>
    <col min="15" max="15" width="20.88671875" style="132" bestFit="1" customWidth="1"/>
    <col min="16" max="16" width="15.21875" style="132" bestFit="1" customWidth="1"/>
    <col min="17" max="17" width="14.109375" style="132" bestFit="1" customWidth="1"/>
    <col min="18" max="18" width="23.33203125" style="132" bestFit="1" customWidth="1"/>
    <col min="19" max="19" width="22.44140625" style="132" bestFit="1" customWidth="1"/>
    <col min="20" max="20" width="24.21875" style="132" bestFit="1" customWidth="1"/>
    <col min="21" max="21" width="27.109375" style="132" bestFit="1" customWidth="1"/>
    <col min="22" max="22" width="25" style="132" bestFit="1" customWidth="1"/>
    <col min="23" max="23" width="21.6640625" style="132" bestFit="1" customWidth="1"/>
    <col min="24" max="24" width="26.44140625" style="132" bestFit="1" customWidth="1"/>
    <col min="25" max="25" width="20.88671875" style="132" bestFit="1" customWidth="1"/>
    <col min="26" max="26" width="21.5546875" style="132" bestFit="1" customWidth="1"/>
    <col min="27" max="27" width="22.6640625" style="132" bestFit="1" customWidth="1"/>
    <col min="28" max="28" width="22.77734375" style="132" bestFit="1" customWidth="1"/>
    <col min="29" max="29" width="19.77734375" style="132" bestFit="1" customWidth="1"/>
    <col min="30" max="30" width="24.109375" style="132" bestFit="1" customWidth="1"/>
    <col min="31" max="31" width="15.77734375" style="132" bestFit="1" customWidth="1"/>
    <col min="32" max="32" width="12.44140625" style="132" bestFit="1" customWidth="1"/>
    <col min="33" max="33" width="13.6640625" style="132" bestFit="1" customWidth="1"/>
    <col min="34" max="34" width="16.109375" style="132" bestFit="1" customWidth="1"/>
    <col min="35" max="35" width="18.109375" style="132" customWidth="1"/>
    <col min="36" max="36" width="27.5546875" style="132" customWidth="1"/>
    <col min="37" max="37" width="24.5546875" style="132" bestFit="1" customWidth="1"/>
    <col min="38" max="38" width="18.5546875" style="132" bestFit="1" customWidth="1"/>
    <col min="39" max="41" width="18.44140625" style="132" customWidth="1"/>
    <col min="42" max="42" width="14.33203125" style="132" customWidth="1"/>
    <col min="43" max="43" width="20.44140625" style="132" customWidth="1"/>
    <col min="44" max="44" width="18.5546875" style="132" bestFit="1" customWidth="1"/>
    <col min="45" max="45" width="20.44140625" style="132" bestFit="1" customWidth="1"/>
    <col min="46" max="46" width="18" style="132" bestFit="1" customWidth="1"/>
    <col min="47" max="47" width="10.88671875" style="132" hidden="1" customWidth="1"/>
    <col min="48" max="48" width="14.44140625" style="132" bestFit="1" customWidth="1"/>
    <col min="49" max="49" width="11.5546875" style="132" bestFit="1" customWidth="1"/>
    <col min="50" max="16384" width="9.109375" style="132"/>
  </cols>
  <sheetData>
    <row r="1" spans="1:48">
      <c r="A1" s="313" t="s">
        <v>279</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c r="A2" s="313" t="s">
        <v>280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row>
    <row r="3" spans="1:48" ht="16.2" thickBot="1">
      <c r="A3" s="315" t="s">
        <v>424</v>
      </c>
      <c r="B3" s="316"/>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6"/>
      <c r="AF3" s="316"/>
      <c r="AG3" s="316"/>
      <c r="AH3" s="316"/>
      <c r="AI3" s="316"/>
      <c r="AJ3" s="316"/>
      <c r="AK3" s="316"/>
      <c r="AL3" s="316"/>
      <c r="AM3" s="316"/>
      <c r="AN3" s="316"/>
      <c r="AO3" s="316"/>
      <c r="AP3" s="316"/>
      <c r="AQ3" s="316"/>
      <c r="AR3" s="316"/>
      <c r="AS3" s="316"/>
      <c r="AT3" s="316"/>
      <c r="AU3" s="316"/>
      <c r="AV3" s="316"/>
    </row>
    <row r="4" spans="1:48">
      <c r="A4" s="523" t="s">
        <v>1</v>
      </c>
      <c r="B4" s="524"/>
      <c r="C4" s="318" t="s">
        <v>24</v>
      </c>
      <c r="D4" s="319" t="s">
        <v>25</v>
      </c>
      <c r="E4" s="319" t="s">
        <v>26</v>
      </c>
      <c r="F4" s="319" t="s">
        <v>27</v>
      </c>
      <c r="G4" s="319" t="s">
        <v>28</v>
      </c>
      <c r="H4" s="319" t="s">
        <v>29</v>
      </c>
      <c r="I4" s="319" t="s">
        <v>114</v>
      </c>
      <c r="J4" s="319" t="s">
        <v>115</v>
      </c>
      <c r="K4" s="319" t="s">
        <v>116</v>
      </c>
      <c r="L4" s="319" t="s">
        <v>117</v>
      </c>
      <c r="M4" s="319" t="s">
        <v>118</v>
      </c>
      <c r="N4" s="319" t="s">
        <v>119</v>
      </c>
      <c r="O4" s="319" t="s">
        <v>120</v>
      </c>
      <c r="P4" s="319" t="s">
        <v>30</v>
      </c>
      <c r="Q4" s="319" t="s">
        <v>121</v>
      </c>
      <c r="R4" s="319" t="s">
        <v>122</v>
      </c>
      <c r="S4" s="319" t="s">
        <v>104</v>
      </c>
      <c r="T4" s="319" t="s">
        <v>105</v>
      </c>
      <c r="U4" s="319" t="s">
        <v>123</v>
      </c>
      <c r="V4" s="320" t="s">
        <v>106</v>
      </c>
      <c r="W4" s="320" t="s">
        <v>107</v>
      </c>
      <c r="X4" s="320" t="s">
        <v>108</v>
      </c>
      <c r="Y4" s="320" t="s">
        <v>109</v>
      </c>
      <c r="Z4" s="320" t="s">
        <v>110</v>
      </c>
      <c r="AA4" s="320" t="s">
        <v>111</v>
      </c>
      <c r="AB4" s="320" t="s">
        <v>112</v>
      </c>
      <c r="AC4" s="320" t="s">
        <v>113</v>
      </c>
      <c r="AD4" s="319" t="s">
        <v>199</v>
      </c>
      <c r="AE4" s="321" t="s">
        <v>175</v>
      </c>
    </row>
    <row r="5" spans="1:48" ht="47.4" thickBot="1">
      <c r="A5" s="525" t="s">
        <v>0</v>
      </c>
      <c r="B5" s="526"/>
      <c r="C5" s="322" t="s">
        <v>7</v>
      </c>
      <c r="D5" s="323" t="s">
        <v>8</v>
      </c>
      <c r="E5" s="323" t="s">
        <v>9</v>
      </c>
      <c r="F5" s="324" t="s">
        <v>189</v>
      </c>
      <c r="G5" s="324" t="s">
        <v>190</v>
      </c>
      <c r="H5" s="324" t="s">
        <v>191</v>
      </c>
      <c r="I5" s="324" t="s">
        <v>11</v>
      </c>
      <c r="J5" s="324" t="s">
        <v>192</v>
      </c>
      <c r="K5" s="324" t="s">
        <v>193</v>
      </c>
      <c r="L5" s="324" t="s">
        <v>194</v>
      </c>
      <c r="M5" s="324" t="s">
        <v>195</v>
      </c>
      <c r="N5" s="324" t="s">
        <v>196</v>
      </c>
      <c r="O5" s="324" t="s">
        <v>281</v>
      </c>
      <c r="P5" s="324" t="s">
        <v>14</v>
      </c>
      <c r="Q5" s="324" t="s">
        <v>15</v>
      </c>
      <c r="R5" s="324" t="s">
        <v>16</v>
      </c>
      <c r="S5" s="324" t="s">
        <v>17</v>
      </c>
      <c r="T5" s="324" t="s">
        <v>158</v>
      </c>
      <c r="U5" s="324" t="s">
        <v>159</v>
      </c>
      <c r="V5" s="325" t="s">
        <v>197</v>
      </c>
      <c r="W5" s="325" t="s">
        <v>124</v>
      </c>
      <c r="X5" s="325" t="s">
        <v>198</v>
      </c>
      <c r="Y5" s="325" t="s">
        <v>19</v>
      </c>
      <c r="Z5" s="325" t="s">
        <v>20</v>
      </c>
      <c r="AA5" s="325" t="s">
        <v>21</v>
      </c>
      <c r="AB5" s="325" t="s">
        <v>22</v>
      </c>
      <c r="AC5" s="325" t="s">
        <v>23</v>
      </c>
      <c r="AD5" s="324" t="s">
        <v>125</v>
      </c>
      <c r="AE5" s="326"/>
    </row>
    <row r="6" spans="1:48" ht="16.2" thickBot="1">
      <c r="A6" s="327"/>
      <c r="B6" s="328" t="s">
        <v>334</v>
      </c>
      <c r="C6" s="329">
        <v>21297356</v>
      </c>
      <c r="D6" s="329">
        <v>548765797</v>
      </c>
      <c r="E6" s="330">
        <v>48154810</v>
      </c>
      <c r="F6" s="331">
        <v>54852504</v>
      </c>
      <c r="G6" s="329">
        <v>10065312</v>
      </c>
      <c r="H6" s="329">
        <v>3488221</v>
      </c>
      <c r="I6" s="329">
        <v>9743396</v>
      </c>
      <c r="J6" s="329">
        <v>8616280</v>
      </c>
      <c r="K6" s="329">
        <v>46082699</v>
      </c>
      <c r="L6" s="329">
        <v>421563615</v>
      </c>
      <c r="M6" s="329">
        <v>269243512</v>
      </c>
      <c r="N6" s="329">
        <v>12371835</v>
      </c>
      <c r="O6" s="329">
        <v>0</v>
      </c>
      <c r="P6" s="329">
        <v>21001890</v>
      </c>
      <c r="Q6" s="329">
        <v>8422558</v>
      </c>
      <c r="R6" s="329">
        <v>2610245</v>
      </c>
      <c r="S6" s="329">
        <v>3155510</v>
      </c>
      <c r="T6" s="329">
        <v>26075221</v>
      </c>
      <c r="U6" s="329">
        <v>1887363</v>
      </c>
      <c r="V6" s="332">
        <v>57609430</v>
      </c>
      <c r="W6" s="332">
        <v>6238964</v>
      </c>
      <c r="X6" s="332">
        <v>9399818</v>
      </c>
      <c r="Y6" s="332">
        <v>45143834</v>
      </c>
      <c r="Z6" s="332">
        <v>18516156</v>
      </c>
      <c r="AA6" s="332">
        <v>12464149</v>
      </c>
      <c r="AB6" s="332">
        <v>992155</v>
      </c>
      <c r="AC6" s="332">
        <v>35071483</v>
      </c>
      <c r="AD6" s="329">
        <v>37715330</v>
      </c>
      <c r="AE6" s="330">
        <f>SUM(C6:AD6)</f>
        <v>1740549443</v>
      </c>
    </row>
    <row r="7" spans="1:48">
      <c r="A7" s="472" t="s">
        <v>216</v>
      </c>
      <c r="B7" s="473" t="s">
        <v>335</v>
      </c>
      <c r="C7" s="333">
        <v>0</v>
      </c>
      <c r="D7" s="333">
        <v>3494694</v>
      </c>
      <c r="E7" s="333">
        <v>506716</v>
      </c>
      <c r="F7" s="333">
        <v>0</v>
      </c>
      <c r="G7" s="333">
        <v>0</v>
      </c>
      <c r="H7" s="333">
        <v>0</v>
      </c>
      <c r="I7" s="333">
        <v>624265</v>
      </c>
      <c r="J7" s="333">
        <v>346315</v>
      </c>
      <c r="K7" s="333">
        <v>-4131478</v>
      </c>
      <c r="L7" s="333">
        <v>0</v>
      </c>
      <c r="M7" s="333">
        <v>0</v>
      </c>
      <c r="N7" s="333">
        <v>0</v>
      </c>
      <c r="O7" s="333">
        <v>0</v>
      </c>
      <c r="P7" s="333">
        <v>0</v>
      </c>
      <c r="Q7" s="333">
        <v>0</v>
      </c>
      <c r="R7" s="333">
        <v>0</v>
      </c>
      <c r="S7" s="333">
        <v>1088701</v>
      </c>
      <c r="T7" s="333">
        <v>0</v>
      </c>
      <c r="U7" s="333">
        <v>598624</v>
      </c>
      <c r="V7" s="333">
        <v>0</v>
      </c>
      <c r="W7" s="333">
        <v>0</v>
      </c>
      <c r="X7" s="333">
        <v>0</v>
      </c>
      <c r="Y7" s="333">
        <v>0</v>
      </c>
      <c r="Z7" s="333">
        <v>0</v>
      </c>
      <c r="AA7" s="333">
        <v>0</v>
      </c>
      <c r="AB7" s="333">
        <v>1</v>
      </c>
      <c r="AC7" s="333">
        <v>2</v>
      </c>
      <c r="AD7" s="333">
        <v>0</v>
      </c>
      <c r="AE7" s="334">
        <f>SUM(C7:AD7)</f>
        <v>2527840</v>
      </c>
    </row>
    <row r="8" spans="1:48" ht="31.2">
      <c r="A8" s="335" t="s">
        <v>273</v>
      </c>
      <c r="B8" s="336" t="s">
        <v>336</v>
      </c>
      <c r="C8" s="333">
        <v>0</v>
      </c>
      <c r="D8" s="333">
        <v>23453959</v>
      </c>
      <c r="E8" s="333">
        <v>1230158</v>
      </c>
      <c r="F8" s="333">
        <v>0</v>
      </c>
      <c r="G8" s="333">
        <v>0</v>
      </c>
      <c r="H8" s="333">
        <v>0</v>
      </c>
      <c r="I8" s="333">
        <v>0</v>
      </c>
      <c r="J8" s="333">
        <v>0</v>
      </c>
      <c r="K8" s="333">
        <v>0</v>
      </c>
      <c r="L8" s="333">
        <v>0</v>
      </c>
      <c r="M8" s="333">
        <v>0</v>
      </c>
      <c r="N8" s="333">
        <v>0</v>
      </c>
      <c r="O8" s="333">
        <v>0</v>
      </c>
      <c r="P8" s="333">
        <v>0</v>
      </c>
      <c r="Q8" s="333">
        <v>0</v>
      </c>
      <c r="R8" s="333">
        <v>0</v>
      </c>
      <c r="S8" s="333">
        <v>0</v>
      </c>
      <c r="T8" s="333">
        <v>34416127</v>
      </c>
      <c r="U8" s="333">
        <v>0</v>
      </c>
      <c r="V8" s="333">
        <v>138854</v>
      </c>
      <c r="W8" s="333">
        <v>6703</v>
      </c>
      <c r="X8" s="333">
        <v>0</v>
      </c>
      <c r="Y8" s="333">
        <v>0</v>
      </c>
      <c r="Z8" s="333">
        <v>376259</v>
      </c>
      <c r="AA8" s="333">
        <v>33546</v>
      </c>
      <c r="AB8" s="333">
        <v>0</v>
      </c>
      <c r="AC8" s="333">
        <v>3067626</v>
      </c>
      <c r="AD8" s="333">
        <v>940108</v>
      </c>
      <c r="AE8" s="334">
        <f t="shared" ref="AE8:AE19" si="0">SUM(C8:AD8)</f>
        <v>63663340</v>
      </c>
    </row>
    <row r="9" spans="1:48" ht="31.2">
      <c r="A9" s="335" t="s">
        <v>269</v>
      </c>
      <c r="B9" s="336" t="s">
        <v>337</v>
      </c>
      <c r="C9" s="333">
        <v>438886</v>
      </c>
      <c r="D9" s="333">
        <v>8866523</v>
      </c>
      <c r="E9" s="333">
        <v>601305</v>
      </c>
      <c r="F9" s="333">
        <v>0</v>
      </c>
      <c r="G9" s="333">
        <v>0</v>
      </c>
      <c r="H9" s="333">
        <v>0</v>
      </c>
      <c r="I9" s="333">
        <v>0</v>
      </c>
      <c r="J9" s="333">
        <v>0</v>
      </c>
      <c r="K9" s="333">
        <v>0</v>
      </c>
      <c r="L9" s="333">
        <v>0</v>
      </c>
      <c r="M9" s="333">
        <v>0</v>
      </c>
      <c r="N9" s="333">
        <v>0</v>
      </c>
      <c r="O9" s="333">
        <v>0</v>
      </c>
      <c r="P9" s="333">
        <v>0</v>
      </c>
      <c r="Q9" s="333">
        <v>0</v>
      </c>
      <c r="R9" s="333">
        <v>0</v>
      </c>
      <c r="S9" s="333">
        <v>2563</v>
      </c>
      <c r="T9" s="333">
        <v>0</v>
      </c>
      <c r="U9" s="333">
        <v>49681</v>
      </c>
      <c r="V9" s="333">
        <v>1006754</v>
      </c>
      <c r="W9" s="333">
        <v>87613</v>
      </c>
      <c r="X9" s="333">
        <v>0</v>
      </c>
      <c r="Y9" s="333">
        <v>688257</v>
      </c>
      <c r="Z9" s="333">
        <v>321203</v>
      </c>
      <c r="AA9" s="333">
        <v>116220</v>
      </c>
      <c r="AB9" s="333">
        <v>4609</v>
      </c>
      <c r="AC9" s="333">
        <v>238958</v>
      </c>
      <c r="AD9" s="333">
        <v>0</v>
      </c>
      <c r="AE9" s="334">
        <f t="shared" si="0"/>
        <v>12422572</v>
      </c>
    </row>
    <row r="10" spans="1:48" ht="31.2">
      <c r="A10" s="335" t="s">
        <v>215</v>
      </c>
      <c r="B10" s="337" t="s">
        <v>338</v>
      </c>
      <c r="C10" s="338">
        <v>-118</v>
      </c>
      <c r="D10" s="338">
        <v>14875734</v>
      </c>
      <c r="E10" s="338">
        <v>-177447</v>
      </c>
      <c r="F10" s="338">
        <v>177025</v>
      </c>
      <c r="G10" s="338">
        <v>0</v>
      </c>
      <c r="H10" s="338">
        <v>0</v>
      </c>
      <c r="I10" s="338">
        <v>0</v>
      </c>
      <c r="J10" s="338">
        <v>0</v>
      </c>
      <c r="K10" s="338">
        <v>4840</v>
      </c>
      <c r="L10" s="338">
        <v>-13804968</v>
      </c>
      <c r="M10" s="338">
        <v>-2232787</v>
      </c>
      <c r="N10" s="338">
        <v>0</v>
      </c>
      <c r="O10" s="338">
        <v>0</v>
      </c>
      <c r="P10" s="338">
        <v>0</v>
      </c>
      <c r="Q10" s="338">
        <v>0</v>
      </c>
      <c r="R10" s="338">
        <v>0</v>
      </c>
      <c r="S10" s="338">
        <v>0</v>
      </c>
      <c r="T10" s="338">
        <v>-337</v>
      </c>
      <c r="U10" s="338">
        <v>0</v>
      </c>
      <c r="V10" s="338">
        <v>89364</v>
      </c>
      <c r="W10" s="338">
        <v>-54453</v>
      </c>
      <c r="X10" s="338">
        <v>0</v>
      </c>
      <c r="Y10" s="338">
        <v>6175</v>
      </c>
      <c r="Z10" s="338">
        <v>12552</v>
      </c>
      <c r="AA10" s="338">
        <v>-141200</v>
      </c>
      <c r="AB10" s="338">
        <v>-46155</v>
      </c>
      <c r="AC10" s="338">
        <v>-695308</v>
      </c>
      <c r="AD10" s="338">
        <v>-211206</v>
      </c>
      <c r="AE10" s="474">
        <f t="shared" si="0"/>
        <v>-2198289</v>
      </c>
      <c r="AH10" s="101"/>
    </row>
    <row r="11" spans="1:48">
      <c r="A11" s="335" t="s">
        <v>271</v>
      </c>
      <c r="B11" s="336" t="s">
        <v>339</v>
      </c>
      <c r="C11" s="339">
        <v>0</v>
      </c>
      <c r="D11" s="339">
        <v>0</v>
      </c>
      <c r="E11" s="339">
        <v>-1456981</v>
      </c>
      <c r="F11" s="339">
        <v>0</v>
      </c>
      <c r="G11" s="339">
        <v>0</v>
      </c>
      <c r="H11" s="339">
        <v>0</v>
      </c>
      <c r="I11" s="339">
        <v>0</v>
      </c>
      <c r="J11" s="339">
        <v>0</v>
      </c>
      <c r="K11" s="339">
        <v>0</v>
      </c>
      <c r="L11" s="339">
        <v>0</v>
      </c>
      <c r="M11" s="339">
        <v>0</v>
      </c>
      <c r="N11" s="339">
        <v>0</v>
      </c>
      <c r="O11" s="339">
        <v>0</v>
      </c>
      <c r="P11" s="339">
        <v>0</v>
      </c>
      <c r="Q11" s="339">
        <v>0</v>
      </c>
      <c r="R11" s="339">
        <v>0</v>
      </c>
      <c r="S11" s="339">
        <v>0</v>
      </c>
      <c r="T11" s="339">
        <v>0</v>
      </c>
      <c r="U11" s="339">
        <v>0</v>
      </c>
      <c r="V11" s="339">
        <v>0</v>
      </c>
      <c r="W11" s="339">
        <v>0</v>
      </c>
      <c r="X11" s="339">
        <v>0</v>
      </c>
      <c r="Y11" s="339">
        <v>-37897</v>
      </c>
      <c r="Z11" s="339">
        <v>0</v>
      </c>
      <c r="AA11" s="339">
        <v>-176221</v>
      </c>
      <c r="AB11" s="339">
        <v>0</v>
      </c>
      <c r="AC11" s="339">
        <v>500000</v>
      </c>
      <c r="AD11" s="339">
        <v>0</v>
      </c>
      <c r="AE11" s="475">
        <f t="shared" si="0"/>
        <v>-1171099</v>
      </c>
    </row>
    <row r="12" spans="1:48">
      <c r="A12" s="340" t="s">
        <v>185</v>
      </c>
      <c r="B12" s="336" t="s">
        <v>340</v>
      </c>
      <c r="C12" s="339">
        <v>37246</v>
      </c>
      <c r="D12" s="339">
        <v>3126060</v>
      </c>
      <c r="E12" s="339">
        <v>90077</v>
      </c>
      <c r="F12" s="339">
        <v>0</v>
      </c>
      <c r="G12" s="339">
        <v>2900000</v>
      </c>
      <c r="H12" s="339">
        <v>1000000</v>
      </c>
      <c r="I12" s="339">
        <v>0</v>
      </c>
      <c r="J12" s="339">
        <v>5452134</v>
      </c>
      <c r="K12" s="339">
        <v>400000</v>
      </c>
      <c r="L12" s="339">
        <v>0</v>
      </c>
      <c r="M12" s="339">
        <v>0</v>
      </c>
      <c r="N12" s="339">
        <v>230000</v>
      </c>
      <c r="O12" s="339">
        <v>0</v>
      </c>
      <c r="P12" s="339">
        <v>-495000</v>
      </c>
      <c r="Q12" s="339">
        <v>-295000</v>
      </c>
      <c r="R12" s="339">
        <v>0</v>
      </c>
      <c r="S12" s="339">
        <v>165</v>
      </c>
      <c r="T12" s="339">
        <v>-5215044</v>
      </c>
      <c r="U12" s="339">
        <v>4868393</v>
      </c>
      <c r="V12" s="339">
        <v>131461</v>
      </c>
      <c r="W12" s="339">
        <v>-674347</v>
      </c>
      <c r="X12" s="339">
        <v>-300000</v>
      </c>
      <c r="Y12" s="339">
        <v>-1262461</v>
      </c>
      <c r="Z12" s="339">
        <v>-1350747</v>
      </c>
      <c r="AA12" s="339">
        <v>-1506141</v>
      </c>
      <c r="AB12" s="339">
        <v>-222073</v>
      </c>
      <c r="AC12" s="339">
        <v>-6914723</v>
      </c>
      <c r="AD12" s="339">
        <v>0</v>
      </c>
      <c r="AE12" s="339">
        <f t="shared" si="0"/>
        <v>0</v>
      </c>
    </row>
    <row r="13" spans="1:48">
      <c r="A13" s="335" t="s">
        <v>274</v>
      </c>
      <c r="B13" s="336" t="s">
        <v>275</v>
      </c>
      <c r="C13" s="339">
        <v>0</v>
      </c>
      <c r="D13" s="339">
        <v>0</v>
      </c>
      <c r="E13" s="339">
        <v>0</v>
      </c>
      <c r="F13" s="339">
        <v>0</v>
      </c>
      <c r="G13" s="339">
        <v>0</v>
      </c>
      <c r="H13" s="339">
        <v>0</v>
      </c>
      <c r="I13" s="339">
        <v>0</v>
      </c>
      <c r="J13" s="339">
        <v>0</v>
      </c>
      <c r="K13" s="339">
        <v>0</v>
      </c>
      <c r="L13" s="339">
        <v>-9559738</v>
      </c>
      <c r="M13" s="339">
        <v>-684839</v>
      </c>
      <c r="N13" s="339">
        <v>0</v>
      </c>
      <c r="O13" s="339">
        <v>0</v>
      </c>
      <c r="P13" s="339">
        <v>0</v>
      </c>
      <c r="Q13" s="339">
        <v>0</v>
      </c>
      <c r="R13" s="339">
        <v>0</v>
      </c>
      <c r="S13" s="339">
        <v>0</v>
      </c>
      <c r="T13" s="339">
        <v>0</v>
      </c>
      <c r="U13" s="339">
        <v>0</v>
      </c>
      <c r="V13" s="339">
        <v>0</v>
      </c>
      <c r="W13" s="339">
        <v>0</v>
      </c>
      <c r="X13" s="339">
        <v>0</v>
      </c>
      <c r="Y13" s="339">
        <v>0</v>
      </c>
      <c r="Z13" s="339">
        <v>0</v>
      </c>
      <c r="AA13" s="339">
        <v>0</v>
      </c>
      <c r="AB13" s="339">
        <v>0</v>
      </c>
      <c r="AC13" s="339">
        <v>0</v>
      </c>
      <c r="AD13" s="339">
        <v>0</v>
      </c>
      <c r="AE13" s="334">
        <f t="shared" si="0"/>
        <v>-10244577</v>
      </c>
    </row>
    <row r="14" spans="1:48">
      <c r="A14" s="335" t="s">
        <v>374</v>
      </c>
      <c r="B14" s="341" t="s">
        <v>375</v>
      </c>
      <c r="C14" s="338">
        <v>0</v>
      </c>
      <c r="D14" s="338">
        <v>51450261</v>
      </c>
      <c r="E14" s="338">
        <v>0</v>
      </c>
      <c r="F14" s="338">
        <v>0</v>
      </c>
      <c r="G14" s="338">
        <v>0</v>
      </c>
      <c r="H14" s="338">
        <v>0</v>
      </c>
      <c r="I14" s="338">
        <v>0</v>
      </c>
      <c r="J14" s="338">
        <v>0</v>
      </c>
      <c r="K14" s="338">
        <v>0</v>
      </c>
      <c r="L14" s="338">
        <v>12200000</v>
      </c>
      <c r="M14" s="338">
        <v>0</v>
      </c>
      <c r="N14" s="338">
        <v>0</v>
      </c>
      <c r="O14" s="338">
        <v>0</v>
      </c>
      <c r="P14" s="338">
        <v>0</v>
      </c>
      <c r="Q14" s="338">
        <v>0</v>
      </c>
      <c r="R14" s="338">
        <v>0</v>
      </c>
      <c r="S14" s="338">
        <v>0</v>
      </c>
      <c r="T14" s="338">
        <v>0</v>
      </c>
      <c r="U14" s="338">
        <v>0</v>
      </c>
      <c r="V14" s="338">
        <v>0</v>
      </c>
      <c r="W14" s="338">
        <v>0</v>
      </c>
      <c r="X14" s="338">
        <v>0</v>
      </c>
      <c r="Y14" s="338">
        <v>0</v>
      </c>
      <c r="Z14" s="338">
        <v>0</v>
      </c>
      <c r="AA14" s="338">
        <v>0</v>
      </c>
      <c r="AB14" s="338">
        <v>0</v>
      </c>
      <c r="AC14" s="338">
        <v>0</v>
      </c>
      <c r="AD14" s="338">
        <v>0</v>
      </c>
      <c r="AE14" s="334">
        <f t="shared" si="0"/>
        <v>63650261</v>
      </c>
    </row>
    <row r="15" spans="1:48">
      <c r="A15" s="335" t="s">
        <v>285</v>
      </c>
      <c r="B15" s="341" t="s">
        <v>287</v>
      </c>
      <c r="C15" s="342">
        <v>0</v>
      </c>
      <c r="D15" s="481">
        <v>8337312</v>
      </c>
      <c r="E15" s="342">
        <v>0</v>
      </c>
      <c r="F15" s="342">
        <v>0</v>
      </c>
      <c r="G15" s="342">
        <v>0</v>
      </c>
      <c r="H15" s="342">
        <v>0</v>
      </c>
      <c r="I15" s="342">
        <v>0</v>
      </c>
      <c r="J15" s="342">
        <v>0</v>
      </c>
      <c r="K15" s="342">
        <v>0</v>
      </c>
      <c r="L15" s="342">
        <v>0</v>
      </c>
      <c r="M15" s="342">
        <v>0</v>
      </c>
      <c r="N15" s="342">
        <v>0</v>
      </c>
      <c r="O15" s="342">
        <v>0</v>
      </c>
      <c r="P15" s="342">
        <v>0</v>
      </c>
      <c r="Q15" s="342">
        <v>0</v>
      </c>
      <c r="R15" s="342">
        <v>0</v>
      </c>
      <c r="S15" s="342">
        <v>0</v>
      </c>
      <c r="T15" s="342">
        <v>0</v>
      </c>
      <c r="U15" s="342">
        <v>0</v>
      </c>
      <c r="V15" s="342">
        <v>0</v>
      </c>
      <c r="W15" s="342">
        <v>0</v>
      </c>
      <c r="X15" s="342">
        <v>0</v>
      </c>
      <c r="Y15" s="342">
        <v>0</v>
      </c>
      <c r="Z15" s="342">
        <v>0</v>
      </c>
      <c r="AA15" s="342">
        <v>0</v>
      </c>
      <c r="AB15" s="342">
        <v>0</v>
      </c>
      <c r="AC15" s="342">
        <v>0</v>
      </c>
      <c r="AD15" s="342">
        <v>42806526</v>
      </c>
      <c r="AE15" s="334">
        <f t="shared" si="0"/>
        <v>51143838</v>
      </c>
    </row>
    <row r="16" spans="1:48" ht="31.2">
      <c r="A16" s="335" t="s">
        <v>416</v>
      </c>
      <c r="B16" s="341" t="s">
        <v>419</v>
      </c>
      <c r="C16" s="342">
        <v>0</v>
      </c>
      <c r="D16" s="481">
        <v>0</v>
      </c>
      <c r="E16" s="342">
        <v>0</v>
      </c>
      <c r="F16" s="342">
        <v>0</v>
      </c>
      <c r="G16" s="342">
        <v>0</v>
      </c>
      <c r="H16" s="342">
        <v>0</v>
      </c>
      <c r="I16" s="342">
        <v>0</v>
      </c>
      <c r="J16" s="342">
        <v>0</v>
      </c>
      <c r="K16" s="342">
        <v>0</v>
      </c>
      <c r="L16" s="342">
        <v>0</v>
      </c>
      <c r="M16" s="342">
        <v>0</v>
      </c>
      <c r="N16" s="342">
        <v>0</v>
      </c>
      <c r="O16" s="342">
        <v>0</v>
      </c>
      <c r="P16" s="342">
        <v>0</v>
      </c>
      <c r="Q16" s="342">
        <v>0</v>
      </c>
      <c r="R16" s="342">
        <v>0</v>
      </c>
      <c r="S16" s="342">
        <v>0</v>
      </c>
      <c r="T16" s="342">
        <v>0</v>
      </c>
      <c r="U16" s="342">
        <v>0</v>
      </c>
      <c r="V16" s="342">
        <v>0</v>
      </c>
      <c r="W16" s="342">
        <v>0</v>
      </c>
      <c r="X16" s="342">
        <v>0</v>
      </c>
      <c r="Y16" s="342">
        <v>0</v>
      </c>
      <c r="Z16" s="342">
        <v>0</v>
      </c>
      <c r="AA16" s="342">
        <v>0</v>
      </c>
      <c r="AB16" s="342">
        <v>0</v>
      </c>
      <c r="AC16" s="342">
        <v>-172391</v>
      </c>
      <c r="AD16" s="342">
        <v>0</v>
      </c>
      <c r="AE16" s="501">
        <f t="shared" si="0"/>
        <v>-172391</v>
      </c>
    </row>
    <row r="17" spans="1:35">
      <c r="A17" s="335" t="s">
        <v>277</v>
      </c>
      <c r="B17" s="341" t="s">
        <v>341</v>
      </c>
      <c r="C17" s="342">
        <v>0</v>
      </c>
      <c r="D17" s="342">
        <v>0</v>
      </c>
      <c r="E17" s="342">
        <v>0</v>
      </c>
      <c r="F17" s="342">
        <v>0</v>
      </c>
      <c r="G17" s="342">
        <v>0</v>
      </c>
      <c r="H17" s="342">
        <v>0</v>
      </c>
      <c r="I17" s="342">
        <v>0</v>
      </c>
      <c r="J17" s="342">
        <v>0</v>
      </c>
      <c r="K17" s="342">
        <v>0</v>
      </c>
      <c r="L17" s="342">
        <v>0</v>
      </c>
      <c r="M17" s="342">
        <v>0</v>
      </c>
      <c r="N17" s="342">
        <v>0</v>
      </c>
      <c r="O17" s="342">
        <v>0</v>
      </c>
      <c r="P17" s="342">
        <v>0</v>
      </c>
      <c r="Q17" s="342">
        <v>0</v>
      </c>
      <c r="R17" s="342">
        <v>0</v>
      </c>
      <c r="S17" s="342">
        <v>0</v>
      </c>
      <c r="T17" s="342">
        <v>2409036</v>
      </c>
      <c r="U17" s="342">
        <v>0</v>
      </c>
      <c r="V17" s="342">
        <v>0</v>
      </c>
      <c r="W17" s="342">
        <v>0</v>
      </c>
      <c r="X17" s="342">
        <v>0</v>
      </c>
      <c r="Y17" s="342">
        <v>0</v>
      </c>
      <c r="Z17" s="342">
        <v>0</v>
      </c>
      <c r="AA17" s="342">
        <v>0</v>
      </c>
      <c r="AB17" s="342">
        <v>0</v>
      </c>
      <c r="AC17" s="342">
        <v>0</v>
      </c>
      <c r="AD17" s="342">
        <v>0</v>
      </c>
      <c r="AE17" s="334">
        <f t="shared" si="0"/>
        <v>2409036</v>
      </c>
    </row>
    <row r="18" spans="1:35">
      <c r="A18" s="343" t="s">
        <v>342</v>
      </c>
      <c r="B18" s="336" t="s">
        <v>343</v>
      </c>
      <c r="C18" s="342">
        <v>0</v>
      </c>
      <c r="D18" s="342">
        <v>0</v>
      </c>
      <c r="E18" s="342">
        <v>0</v>
      </c>
      <c r="F18" s="342">
        <v>0</v>
      </c>
      <c r="G18" s="342">
        <v>0</v>
      </c>
      <c r="H18" s="342">
        <v>0</v>
      </c>
      <c r="I18" s="342">
        <v>0</v>
      </c>
      <c r="J18" s="342">
        <v>0</v>
      </c>
      <c r="K18" s="342">
        <v>0</v>
      </c>
      <c r="L18" s="342">
        <v>0</v>
      </c>
      <c r="M18" s="342">
        <v>0</v>
      </c>
      <c r="N18" s="342">
        <v>0</v>
      </c>
      <c r="O18" s="342">
        <v>0</v>
      </c>
      <c r="P18" s="342">
        <v>0</v>
      </c>
      <c r="Q18" s="342">
        <v>0</v>
      </c>
      <c r="R18" s="342">
        <v>0</v>
      </c>
      <c r="S18" s="342">
        <v>0</v>
      </c>
      <c r="T18" s="342">
        <v>0</v>
      </c>
      <c r="U18" s="342">
        <v>0</v>
      </c>
      <c r="V18" s="342">
        <v>0</v>
      </c>
      <c r="W18" s="342">
        <v>0</v>
      </c>
      <c r="X18" s="342">
        <v>0</v>
      </c>
      <c r="Y18" s="342">
        <v>0</v>
      </c>
      <c r="Z18" s="342">
        <v>0</v>
      </c>
      <c r="AA18" s="342">
        <v>0</v>
      </c>
      <c r="AB18" s="342">
        <v>0</v>
      </c>
      <c r="AC18" s="342">
        <v>2708652</v>
      </c>
      <c r="AD18" s="342">
        <v>0</v>
      </c>
      <c r="AE18" s="334">
        <f t="shared" si="0"/>
        <v>2708652</v>
      </c>
    </row>
    <row r="19" spans="1:35">
      <c r="A19" s="343" t="s">
        <v>372</v>
      </c>
      <c r="B19" s="336" t="s">
        <v>373</v>
      </c>
      <c r="C19" s="342">
        <v>0</v>
      </c>
      <c r="D19" s="502">
        <v>21000000</v>
      </c>
      <c r="E19" s="502">
        <v>0</v>
      </c>
      <c r="F19" s="502">
        <v>0</v>
      </c>
      <c r="G19" s="502">
        <v>0</v>
      </c>
      <c r="H19" s="502">
        <v>0</v>
      </c>
      <c r="I19" s="502">
        <v>0</v>
      </c>
      <c r="J19" s="502">
        <v>0</v>
      </c>
      <c r="K19" s="502">
        <v>0</v>
      </c>
      <c r="L19" s="502">
        <v>-21000000</v>
      </c>
      <c r="M19" s="342">
        <v>0</v>
      </c>
      <c r="N19" s="342">
        <v>0</v>
      </c>
      <c r="O19" s="342">
        <v>0</v>
      </c>
      <c r="P19" s="342">
        <v>0</v>
      </c>
      <c r="Q19" s="342">
        <v>0</v>
      </c>
      <c r="R19" s="342">
        <v>0</v>
      </c>
      <c r="S19" s="342">
        <v>0</v>
      </c>
      <c r="T19" s="342">
        <v>0</v>
      </c>
      <c r="U19" s="342">
        <v>0</v>
      </c>
      <c r="V19" s="342">
        <v>0</v>
      </c>
      <c r="W19" s="342">
        <v>0</v>
      </c>
      <c r="X19" s="342">
        <v>0</v>
      </c>
      <c r="Y19" s="342">
        <v>0</v>
      </c>
      <c r="Z19" s="342">
        <v>0</v>
      </c>
      <c r="AA19" s="342">
        <v>0</v>
      </c>
      <c r="AB19" s="342">
        <v>0</v>
      </c>
      <c r="AC19" s="342">
        <v>0</v>
      </c>
      <c r="AD19" s="342">
        <v>0</v>
      </c>
      <c r="AE19" s="503">
        <f t="shared" si="0"/>
        <v>0</v>
      </c>
    </row>
    <row r="20" spans="1:35" ht="16.2" thickBot="1">
      <c r="A20" s="343" t="s">
        <v>410</v>
      </c>
      <c r="B20" s="386" t="s">
        <v>418</v>
      </c>
      <c r="C20" s="504">
        <v>0</v>
      </c>
      <c r="D20" s="505">
        <v>616984</v>
      </c>
      <c r="E20" s="505">
        <v>-616984</v>
      </c>
      <c r="F20" s="505">
        <v>16279099</v>
      </c>
      <c r="G20" s="505">
        <v>0</v>
      </c>
      <c r="H20" s="505">
        <v>0</v>
      </c>
      <c r="I20" s="505">
        <v>0</v>
      </c>
      <c r="J20" s="505">
        <v>0</v>
      </c>
      <c r="K20" s="505">
        <v>0</v>
      </c>
      <c r="L20" s="505">
        <v>44020644</v>
      </c>
      <c r="M20" s="504">
        <v>694681</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-4355118</v>
      </c>
      <c r="AE20" s="474">
        <f>SUM(C20:AD20)</f>
        <v>56639306</v>
      </c>
    </row>
    <row r="21" spans="1:35" ht="16.2" thickBot="1">
      <c r="A21" s="344"/>
      <c r="B21" s="345" t="s">
        <v>169</v>
      </c>
      <c r="C21" s="506">
        <f>SUM(C7:C20)</f>
        <v>476014</v>
      </c>
      <c r="D21" s="506">
        <f t="shared" ref="D21:AB21" si="1">SUM(D7:D20)</f>
        <v>135221527</v>
      </c>
      <c r="E21" s="506">
        <f>SUM(E7:E20)</f>
        <v>176844</v>
      </c>
      <c r="F21" s="506">
        <f>SUM(F7:F20)</f>
        <v>16456124</v>
      </c>
      <c r="G21" s="506">
        <f t="shared" si="1"/>
        <v>2900000</v>
      </c>
      <c r="H21" s="506">
        <f t="shared" si="1"/>
        <v>1000000</v>
      </c>
      <c r="I21" s="506">
        <f t="shared" si="1"/>
        <v>624265</v>
      </c>
      <c r="J21" s="506">
        <f t="shared" si="1"/>
        <v>5798449</v>
      </c>
      <c r="K21" s="506">
        <f t="shared" si="1"/>
        <v>-3726638</v>
      </c>
      <c r="L21" s="506">
        <f t="shared" si="1"/>
        <v>11855938</v>
      </c>
      <c r="M21" s="506">
        <f t="shared" si="1"/>
        <v>-2222945</v>
      </c>
      <c r="N21" s="506">
        <f t="shared" si="1"/>
        <v>230000</v>
      </c>
      <c r="O21" s="506">
        <f t="shared" si="1"/>
        <v>0</v>
      </c>
      <c r="P21" s="506">
        <f t="shared" ref="P21:AD21" si="2">SUM(P7:P20)</f>
        <v>-495000</v>
      </c>
      <c r="Q21" s="506">
        <f t="shared" si="2"/>
        <v>-295000</v>
      </c>
      <c r="R21" s="506">
        <f t="shared" si="2"/>
        <v>0</v>
      </c>
      <c r="S21" s="506">
        <f t="shared" si="2"/>
        <v>1091429</v>
      </c>
      <c r="T21" s="506">
        <f t="shared" si="2"/>
        <v>31609782</v>
      </c>
      <c r="U21" s="506">
        <f t="shared" si="2"/>
        <v>5516698</v>
      </c>
      <c r="V21" s="506">
        <f t="shared" si="2"/>
        <v>1366433</v>
      </c>
      <c r="W21" s="506">
        <f t="shared" si="2"/>
        <v>-634484</v>
      </c>
      <c r="X21" s="506">
        <f t="shared" si="2"/>
        <v>-300000</v>
      </c>
      <c r="Y21" s="506">
        <f t="shared" si="2"/>
        <v>-605926</v>
      </c>
      <c r="Z21" s="506">
        <f t="shared" si="2"/>
        <v>-640733</v>
      </c>
      <c r="AA21" s="506">
        <f t="shared" si="2"/>
        <v>-1673796</v>
      </c>
      <c r="AB21" s="506">
        <f t="shared" si="2"/>
        <v>-263618</v>
      </c>
      <c r="AC21" s="506">
        <f t="shared" si="2"/>
        <v>-1267184</v>
      </c>
      <c r="AD21" s="506">
        <f>SUM(AD7:AD20)</f>
        <v>39180310</v>
      </c>
      <c r="AE21" s="508">
        <f>SUM(C21:AD21)</f>
        <v>241378489</v>
      </c>
      <c r="AH21" s="101"/>
    </row>
    <row r="22" spans="1:35" ht="16.2">
      <c r="A22" s="346"/>
      <c r="B22" s="347" t="s">
        <v>4</v>
      </c>
      <c r="C22" s="348">
        <v>471937</v>
      </c>
      <c r="D22" s="348">
        <v>112542345</v>
      </c>
      <c r="E22" s="348">
        <v>1231251</v>
      </c>
      <c r="F22" s="348">
        <v>16279099</v>
      </c>
      <c r="G22" s="348">
        <v>2900000</v>
      </c>
      <c r="H22" s="348">
        <v>1000000</v>
      </c>
      <c r="I22" s="348"/>
      <c r="J22" s="348">
        <v>5452134</v>
      </c>
      <c r="K22" s="348">
        <v>400000</v>
      </c>
      <c r="L22" s="348">
        <v>34460906</v>
      </c>
      <c r="M22" s="348">
        <v>9842</v>
      </c>
      <c r="N22" s="348">
        <v>230000</v>
      </c>
      <c r="O22" s="348">
        <v>0</v>
      </c>
      <c r="P22" s="348">
        <v>-495000</v>
      </c>
      <c r="Q22" s="348">
        <v>-295000</v>
      </c>
      <c r="R22" s="348">
        <v>0</v>
      </c>
      <c r="S22" s="348">
        <v>2728</v>
      </c>
      <c r="T22" s="348">
        <v>9087102</v>
      </c>
      <c r="U22" s="348">
        <v>2784652</v>
      </c>
      <c r="V22" s="348">
        <v>1182379</v>
      </c>
      <c r="W22" s="348">
        <v>-577537</v>
      </c>
      <c r="X22" s="348">
        <v>-300000</v>
      </c>
      <c r="Y22" s="348">
        <v>-609822</v>
      </c>
      <c r="Z22" s="348">
        <v>-714641</v>
      </c>
      <c r="AA22" s="348">
        <v>-1368117</v>
      </c>
      <c r="AB22" s="348">
        <v>-197379</v>
      </c>
      <c r="AC22" s="348">
        <v>-1237708</v>
      </c>
      <c r="AD22" s="348">
        <v>32882735</v>
      </c>
      <c r="AE22" s="507">
        <f>SUM(C22:AD22)</f>
        <v>215121906</v>
      </c>
      <c r="AI22" s="101"/>
    </row>
    <row r="23" spans="1:35" ht="16.2">
      <c r="A23" s="346"/>
      <c r="B23" s="349" t="s">
        <v>282</v>
      </c>
      <c r="C23" s="350">
        <v>4077</v>
      </c>
      <c r="D23" s="350">
        <v>22679182</v>
      </c>
      <c r="E23" s="350">
        <v>402574</v>
      </c>
      <c r="F23" s="350">
        <v>177025</v>
      </c>
      <c r="G23" s="350"/>
      <c r="H23" s="350"/>
      <c r="I23" s="350">
        <v>624265</v>
      </c>
      <c r="J23" s="350">
        <v>346315</v>
      </c>
      <c r="K23" s="350">
        <v>-4126638</v>
      </c>
      <c r="L23" s="350">
        <v>-22604968</v>
      </c>
      <c r="M23" s="350">
        <v>-2232787</v>
      </c>
      <c r="N23" s="350"/>
      <c r="O23" s="350">
        <v>0</v>
      </c>
      <c r="P23" s="350"/>
      <c r="Q23" s="350"/>
      <c r="R23" s="350">
        <v>0</v>
      </c>
      <c r="S23" s="350">
        <v>1088701</v>
      </c>
      <c r="T23" s="350">
        <v>22522680</v>
      </c>
      <c r="U23" s="350">
        <v>2732046</v>
      </c>
      <c r="V23" s="350">
        <v>184054</v>
      </c>
      <c r="W23" s="350">
        <v>-56947</v>
      </c>
      <c r="X23" s="350"/>
      <c r="Y23" s="350">
        <v>46240</v>
      </c>
      <c r="Z23" s="350">
        <v>73908</v>
      </c>
      <c r="AA23" s="350">
        <v>-133905</v>
      </c>
      <c r="AB23" s="350">
        <v>-66239</v>
      </c>
      <c r="AC23" s="350">
        <v>-529476</v>
      </c>
      <c r="AD23" s="350">
        <v>6297575</v>
      </c>
      <c r="AE23" s="507">
        <f>SUM(C23:AD23)</f>
        <v>27427682</v>
      </c>
      <c r="AI23" s="101"/>
    </row>
    <row r="24" spans="1:35" ht="16.8" thickBot="1">
      <c r="A24" s="346"/>
      <c r="B24" s="349" t="s">
        <v>36</v>
      </c>
      <c r="C24" s="350"/>
      <c r="D24" s="350"/>
      <c r="E24" s="350">
        <v>-1456981</v>
      </c>
      <c r="F24" s="350"/>
      <c r="G24" s="350"/>
      <c r="H24" s="350"/>
      <c r="I24" s="350"/>
      <c r="J24" s="350"/>
      <c r="K24" s="350"/>
      <c r="L24" s="350"/>
      <c r="M24" s="350"/>
      <c r="N24" s="350"/>
      <c r="O24" s="350"/>
      <c r="P24" s="350"/>
      <c r="Q24" s="350"/>
      <c r="R24" s="350">
        <v>0</v>
      </c>
      <c r="S24" s="350"/>
      <c r="T24" s="350"/>
      <c r="U24" s="350"/>
      <c r="V24" s="350"/>
      <c r="W24" s="350"/>
      <c r="X24" s="350"/>
      <c r="Y24" s="350">
        <v>-42344</v>
      </c>
      <c r="Z24" s="350"/>
      <c r="AA24" s="350">
        <v>-171774</v>
      </c>
      <c r="AB24" s="350"/>
      <c r="AC24" s="350">
        <v>500000</v>
      </c>
      <c r="AD24" s="350"/>
      <c r="AE24" s="507">
        <f>SUM(C24:AD24)</f>
        <v>-1171099</v>
      </c>
      <c r="AI24" s="101"/>
    </row>
    <row r="25" spans="1:35" ht="16.2" thickBot="1">
      <c r="A25" s="351"/>
      <c r="B25" s="345" t="s">
        <v>344</v>
      </c>
      <c r="C25" s="408">
        <f>C21+C6</f>
        <v>21773370</v>
      </c>
      <c r="D25" s="408">
        <f t="shared" ref="D25:AC25" si="3">D21+D6</f>
        <v>683987324</v>
      </c>
      <c r="E25" s="408">
        <f t="shared" si="3"/>
        <v>48331654</v>
      </c>
      <c r="F25" s="408">
        <f t="shared" si="3"/>
        <v>71308628</v>
      </c>
      <c r="G25" s="408">
        <f t="shared" si="3"/>
        <v>12965312</v>
      </c>
      <c r="H25" s="408">
        <f t="shared" si="3"/>
        <v>4488221</v>
      </c>
      <c r="I25" s="408">
        <f t="shared" si="3"/>
        <v>10367661</v>
      </c>
      <c r="J25" s="408">
        <f t="shared" si="3"/>
        <v>14414729</v>
      </c>
      <c r="K25" s="408">
        <f t="shared" si="3"/>
        <v>42356061</v>
      </c>
      <c r="L25" s="408">
        <f>L21+L6</f>
        <v>433419553</v>
      </c>
      <c r="M25" s="408">
        <f t="shared" si="3"/>
        <v>267020567</v>
      </c>
      <c r="N25" s="408">
        <f t="shared" si="3"/>
        <v>12601835</v>
      </c>
      <c r="O25" s="408">
        <f t="shared" si="3"/>
        <v>0</v>
      </c>
      <c r="P25" s="408">
        <f t="shared" si="3"/>
        <v>20506890</v>
      </c>
      <c r="Q25" s="408">
        <f t="shared" si="3"/>
        <v>8127558</v>
      </c>
      <c r="R25" s="408">
        <f t="shared" si="3"/>
        <v>2610245</v>
      </c>
      <c r="S25" s="408">
        <f t="shared" si="3"/>
        <v>4246939</v>
      </c>
      <c r="T25" s="408">
        <f t="shared" si="3"/>
        <v>57685003</v>
      </c>
      <c r="U25" s="408">
        <f t="shared" si="3"/>
        <v>7404061</v>
      </c>
      <c r="V25" s="408">
        <f t="shared" si="3"/>
        <v>58975863</v>
      </c>
      <c r="W25" s="408">
        <f t="shared" si="3"/>
        <v>5604480</v>
      </c>
      <c r="X25" s="408">
        <f t="shared" si="3"/>
        <v>9099818</v>
      </c>
      <c r="Y25" s="408">
        <f t="shared" si="3"/>
        <v>44537908</v>
      </c>
      <c r="Z25" s="408">
        <f t="shared" si="3"/>
        <v>17875423</v>
      </c>
      <c r="AA25" s="408">
        <f t="shared" si="3"/>
        <v>10790353</v>
      </c>
      <c r="AB25" s="408">
        <f t="shared" si="3"/>
        <v>728537</v>
      </c>
      <c r="AC25" s="408">
        <f t="shared" si="3"/>
        <v>33804299</v>
      </c>
      <c r="AD25" s="408">
        <f>AD21+AD6</f>
        <v>76895640</v>
      </c>
      <c r="AE25" s="508">
        <f>AE21+AE6</f>
        <v>1981927932</v>
      </c>
      <c r="AF25" s="409"/>
      <c r="AH25" s="101"/>
    </row>
    <row r="26" spans="1:35" s="489" customFormat="1">
      <c r="A26" s="18"/>
      <c r="B26" s="18"/>
      <c r="C26" s="146"/>
      <c r="D26" s="146"/>
      <c r="E26" s="146"/>
      <c r="F26" s="146"/>
      <c r="G26" s="146"/>
      <c r="H26" s="146"/>
      <c r="I26" s="146"/>
      <c r="J26" s="146"/>
      <c r="K26" s="146"/>
      <c r="L26" s="146"/>
      <c r="M26" s="146"/>
      <c r="N26" s="146"/>
      <c r="O26" s="18"/>
      <c r="P26" s="146"/>
      <c r="Q26" s="146"/>
      <c r="R26" s="146"/>
      <c r="S26" s="146"/>
      <c r="T26" s="146"/>
      <c r="U26" s="146"/>
      <c r="V26" s="146"/>
      <c r="W26" s="146"/>
      <c r="X26" s="146"/>
      <c r="Y26" s="146"/>
      <c r="Z26" s="146"/>
      <c r="AA26" s="146"/>
      <c r="AB26" s="146"/>
      <c r="AC26" s="146"/>
      <c r="AD26" s="146"/>
      <c r="AE26" s="146"/>
      <c r="AF26" s="146"/>
      <c r="AG26" s="488"/>
      <c r="AH26" s="488"/>
      <c r="AI26" s="488"/>
    </row>
    <row r="27" spans="1:35">
      <c r="A27" s="132"/>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row>
    <row r="28" spans="1:35">
      <c r="A28" s="13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row>
    <row r="29" spans="1:35">
      <c r="A29" s="132"/>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row>
    <row r="30" spans="1:35">
      <c r="A30" s="132"/>
    </row>
    <row r="31" spans="1:35">
      <c r="A31" s="132"/>
    </row>
    <row r="32" spans="1:35">
      <c r="A32" s="132"/>
    </row>
    <row r="33" spans="1:31">
      <c r="A33" s="132"/>
    </row>
    <row r="34" spans="1:31">
      <c r="A34" s="132"/>
    </row>
    <row r="35" spans="1:31">
      <c r="A35" s="132"/>
    </row>
    <row r="36" spans="1:31">
      <c r="A36" s="132"/>
    </row>
    <row r="37" spans="1:31">
      <c r="A37" s="132"/>
    </row>
    <row r="38" spans="1:31">
      <c r="A38" s="132"/>
    </row>
    <row r="39" spans="1:31">
      <c r="A39" s="132"/>
    </row>
    <row r="40" spans="1:31" s="128" customFormat="1">
      <c r="A40" s="35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s="128" customFormat="1">
      <c r="A41" s="35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s="353" customFormat="1">
      <c r="A42" s="35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43" spans="1:31" s="353" customFormat="1">
      <c r="A43" s="35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row>
    <row r="44" spans="1:31" s="353" customFormat="1">
      <c r="A44" s="35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row>
    <row r="45" spans="1:31" s="312" customFormat="1">
      <c r="A45" s="35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67" spans="32:32">
      <c r="AF67" s="354"/>
    </row>
    <row r="68" spans="32:32">
      <c r="AF68" s="354"/>
    </row>
    <row r="69" spans="32:32">
      <c r="AF69" s="35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zoomScale="80" zoomScaleNormal="80" workbookViewId="0">
      <pane ySplit="5" topLeftCell="A6" activePane="bottomLeft" state="frozen"/>
      <selection activeCell="F14" sqref="F14"/>
      <selection pane="bottomLeft" activeCell="H29" sqref="H29"/>
    </sheetView>
  </sheetViews>
  <sheetFormatPr defaultColWidth="12.6640625" defaultRowHeight="15.6"/>
  <cols>
    <col min="1" max="1" width="10.109375" style="96" customWidth="1"/>
    <col min="2" max="2" width="49.6640625" style="96" customWidth="1"/>
    <col min="3" max="7" width="15.88671875" style="97" customWidth="1"/>
    <col min="8" max="8" width="16.21875" style="96" customWidth="1"/>
    <col min="9" max="9" width="12.6640625" style="96"/>
    <col min="10" max="10" width="10.44140625" style="96" customWidth="1"/>
    <col min="11" max="11" width="12.109375" style="96" customWidth="1"/>
    <col min="12" max="12" width="9.6640625" style="96" bestFit="1" customWidth="1"/>
    <col min="13" max="16384" width="12.6640625" style="96"/>
  </cols>
  <sheetData>
    <row r="1" spans="1:13">
      <c r="A1" s="527" t="s">
        <v>3</v>
      </c>
      <c r="B1" s="527"/>
      <c r="C1" s="527"/>
      <c r="D1" s="527"/>
      <c r="E1" s="527"/>
      <c r="F1" s="527"/>
      <c r="G1" s="527"/>
      <c r="H1" s="527"/>
      <c r="I1" s="395"/>
      <c r="K1" s="395"/>
      <c r="L1" s="395"/>
      <c r="M1" s="395"/>
    </row>
    <row r="2" spans="1:13">
      <c r="A2" s="527" t="s">
        <v>266</v>
      </c>
      <c r="B2" s="527"/>
      <c r="C2" s="527"/>
      <c r="D2" s="527"/>
      <c r="E2" s="527"/>
      <c r="F2" s="527"/>
      <c r="G2" s="527"/>
      <c r="H2" s="527"/>
      <c r="I2" s="395"/>
      <c r="K2" s="395"/>
      <c r="L2" s="395"/>
      <c r="M2" s="395"/>
    </row>
    <row r="3" spans="1:13">
      <c r="A3" s="528" t="s">
        <v>423</v>
      </c>
      <c r="B3" s="528"/>
      <c r="C3" s="528"/>
      <c r="D3" s="528"/>
      <c r="E3" s="528"/>
      <c r="F3" s="528"/>
      <c r="G3" s="528"/>
      <c r="H3" s="528"/>
      <c r="I3" s="395"/>
      <c r="K3" s="395"/>
      <c r="L3" s="395"/>
      <c r="M3" s="395"/>
    </row>
    <row r="4" spans="1:13">
      <c r="A4" s="490"/>
      <c r="B4" s="491"/>
      <c r="C4" s="492"/>
      <c r="D4" s="493"/>
      <c r="E4" s="492"/>
      <c r="F4" s="492"/>
      <c r="G4" s="492"/>
      <c r="H4" s="395"/>
      <c r="I4" s="395"/>
      <c r="K4" s="395"/>
      <c r="L4" s="395"/>
      <c r="M4" s="395"/>
    </row>
    <row r="5" spans="1:13" ht="69" customHeight="1">
      <c r="A5" s="390" t="s">
        <v>1</v>
      </c>
      <c r="B5" s="391" t="s">
        <v>0</v>
      </c>
      <c r="C5" s="392" t="s">
        <v>233</v>
      </c>
      <c r="D5" s="393" t="s">
        <v>32</v>
      </c>
      <c r="E5" s="394" t="s">
        <v>368</v>
      </c>
      <c r="F5" s="394" t="s">
        <v>152</v>
      </c>
      <c r="G5" s="394" t="s">
        <v>153</v>
      </c>
      <c r="H5" s="394" t="s">
        <v>200</v>
      </c>
      <c r="I5" s="395"/>
      <c r="K5" s="395"/>
      <c r="L5" s="395"/>
      <c r="M5" s="395"/>
    </row>
    <row r="6" spans="1:13">
      <c r="A6" s="85" t="s">
        <v>24</v>
      </c>
      <c r="B6" s="86" t="s">
        <v>7</v>
      </c>
      <c r="C6" s="382">
        <v>444.1</v>
      </c>
      <c r="D6" s="87">
        <v>0</v>
      </c>
      <c r="E6" s="382">
        <v>444.1</v>
      </c>
      <c r="F6" s="383">
        <v>419.8</v>
      </c>
      <c r="G6" s="382">
        <v>417.5</v>
      </c>
      <c r="H6" s="382">
        <f>+E6-G6</f>
        <v>26.600000000000023</v>
      </c>
      <c r="I6" s="396"/>
      <c r="J6" s="395"/>
      <c r="K6" s="396"/>
      <c r="L6" s="396"/>
      <c r="M6" s="396"/>
    </row>
    <row r="7" spans="1:13">
      <c r="A7" s="88" t="s">
        <v>126</v>
      </c>
      <c r="B7" s="89"/>
      <c r="C7" s="384">
        <f>SUM(C6)</f>
        <v>444.1</v>
      </c>
      <c r="D7" s="384">
        <f t="shared" ref="D7:H7" si="0">SUM(D6)</f>
        <v>0</v>
      </c>
      <c r="E7" s="384">
        <f t="shared" si="0"/>
        <v>444.1</v>
      </c>
      <c r="F7" s="384">
        <f t="shared" si="0"/>
        <v>419.8</v>
      </c>
      <c r="G7" s="384">
        <f t="shared" si="0"/>
        <v>417.5</v>
      </c>
      <c r="H7" s="384">
        <f t="shared" si="0"/>
        <v>26.600000000000023</v>
      </c>
      <c r="I7" s="396"/>
      <c r="J7" s="395"/>
      <c r="K7" s="396"/>
      <c r="L7" s="396"/>
      <c r="M7" s="396"/>
    </row>
    <row r="8" spans="1:13">
      <c r="A8" s="85" t="s">
        <v>25</v>
      </c>
      <c r="B8" s="86" t="s">
        <v>8</v>
      </c>
      <c r="C8" s="383">
        <v>9335.9000000000015</v>
      </c>
      <c r="D8" s="91">
        <v>0</v>
      </c>
      <c r="E8" s="383">
        <v>9340.2999999999993</v>
      </c>
      <c r="F8" s="383">
        <v>9520</v>
      </c>
      <c r="G8" s="383">
        <v>10006.5</v>
      </c>
      <c r="H8" s="383">
        <f t="shared" ref="H8:H19" si="1">+E8-G8</f>
        <v>-666.20000000000073</v>
      </c>
      <c r="I8" s="396"/>
      <c r="J8" s="395"/>
      <c r="K8" s="396"/>
      <c r="L8" s="396"/>
      <c r="M8" s="396"/>
    </row>
    <row r="9" spans="1:13">
      <c r="A9" s="85" t="s">
        <v>26</v>
      </c>
      <c r="B9" s="86" t="s">
        <v>9</v>
      </c>
      <c r="C9" s="383">
        <v>560.5999999999998</v>
      </c>
      <c r="D9" s="91">
        <v>0</v>
      </c>
      <c r="E9" s="383">
        <v>549.1</v>
      </c>
      <c r="F9" s="383">
        <v>525.9</v>
      </c>
      <c r="G9" s="383">
        <v>527.6</v>
      </c>
      <c r="H9" s="383">
        <f t="shared" si="1"/>
        <v>21.5</v>
      </c>
      <c r="I9" s="396"/>
      <c r="J9" s="395"/>
      <c r="K9" s="396"/>
      <c r="L9" s="397"/>
      <c r="M9" s="396"/>
    </row>
    <row r="10" spans="1:13">
      <c r="A10" s="85" t="s">
        <v>27</v>
      </c>
      <c r="B10" s="86" t="s">
        <v>189</v>
      </c>
      <c r="C10" s="383">
        <v>0</v>
      </c>
      <c r="D10" s="91">
        <v>0</v>
      </c>
      <c r="E10" s="383">
        <v>0</v>
      </c>
      <c r="F10" s="383">
        <v>0</v>
      </c>
      <c r="G10" s="383">
        <v>0</v>
      </c>
      <c r="H10" s="383">
        <f t="shared" si="1"/>
        <v>0</v>
      </c>
      <c r="I10" s="396"/>
      <c r="J10" s="395"/>
      <c r="K10" s="396"/>
      <c r="L10" s="388"/>
      <c r="M10" s="396"/>
    </row>
    <row r="11" spans="1:13">
      <c r="A11" s="85" t="s">
        <v>28</v>
      </c>
      <c r="B11" s="86" t="s">
        <v>10</v>
      </c>
      <c r="C11" s="383">
        <v>0</v>
      </c>
      <c r="D11" s="91">
        <v>0</v>
      </c>
      <c r="E11" s="383">
        <v>0</v>
      </c>
      <c r="F11" s="383">
        <v>0</v>
      </c>
      <c r="G11" s="383">
        <v>0</v>
      </c>
      <c r="H11" s="383">
        <f t="shared" si="1"/>
        <v>0</v>
      </c>
      <c r="I11" s="396"/>
      <c r="J11" s="396"/>
      <c r="K11" s="396"/>
      <c r="L11" s="388"/>
      <c r="M11" s="396"/>
    </row>
    <row r="12" spans="1:13">
      <c r="A12" s="85" t="s">
        <v>29</v>
      </c>
      <c r="B12" s="86" t="s">
        <v>191</v>
      </c>
      <c r="C12" s="383">
        <v>0</v>
      </c>
      <c r="D12" s="91">
        <v>0</v>
      </c>
      <c r="E12" s="383">
        <v>0</v>
      </c>
      <c r="F12" s="383">
        <v>0</v>
      </c>
      <c r="G12" s="383">
        <v>0</v>
      </c>
      <c r="H12" s="383">
        <f t="shared" si="1"/>
        <v>0</v>
      </c>
      <c r="I12" s="396"/>
      <c r="J12" s="396"/>
      <c r="K12" s="396"/>
      <c r="L12" s="388"/>
      <c r="M12" s="396"/>
    </row>
    <row r="13" spans="1:13">
      <c r="A13" s="85" t="s">
        <v>114</v>
      </c>
      <c r="B13" s="86" t="s">
        <v>11</v>
      </c>
      <c r="C13" s="383">
        <v>0</v>
      </c>
      <c r="D13" s="91">
        <v>0</v>
      </c>
      <c r="E13" s="383">
        <v>0</v>
      </c>
      <c r="F13" s="383">
        <v>0</v>
      </c>
      <c r="G13" s="383">
        <v>0</v>
      </c>
      <c r="H13" s="383">
        <f t="shared" si="1"/>
        <v>0</v>
      </c>
      <c r="I13" s="396"/>
      <c r="J13" s="396"/>
      <c r="K13" s="396"/>
      <c r="L13" s="388"/>
      <c r="M13" s="396"/>
    </row>
    <row r="14" spans="1:13">
      <c r="A14" s="85" t="s">
        <v>115</v>
      </c>
      <c r="B14" s="86" t="s">
        <v>201</v>
      </c>
      <c r="C14" s="383">
        <v>0</v>
      </c>
      <c r="D14" s="91">
        <v>0</v>
      </c>
      <c r="E14" s="383">
        <v>0</v>
      </c>
      <c r="F14" s="383">
        <v>0</v>
      </c>
      <c r="G14" s="383">
        <v>0</v>
      </c>
      <c r="H14" s="383">
        <f t="shared" si="1"/>
        <v>0</v>
      </c>
      <c r="I14" s="396"/>
      <c r="J14" s="397"/>
      <c r="K14" s="396"/>
      <c r="L14" s="388"/>
      <c r="M14" s="396"/>
    </row>
    <row r="15" spans="1:13">
      <c r="A15" s="85" t="s">
        <v>116</v>
      </c>
      <c r="B15" s="86" t="s">
        <v>12</v>
      </c>
      <c r="C15" s="383">
        <v>0</v>
      </c>
      <c r="D15" s="91">
        <v>0</v>
      </c>
      <c r="E15" s="383">
        <v>0</v>
      </c>
      <c r="F15" s="383">
        <v>0</v>
      </c>
      <c r="G15" s="383">
        <v>0</v>
      </c>
      <c r="H15" s="383">
        <f t="shared" si="1"/>
        <v>0</v>
      </c>
      <c r="I15" s="396"/>
      <c r="J15" s="397"/>
      <c r="K15" s="396"/>
      <c r="L15" s="388"/>
      <c r="M15" s="396"/>
    </row>
    <row r="16" spans="1:13">
      <c r="A16" s="85" t="s">
        <v>117</v>
      </c>
      <c r="B16" s="86" t="s">
        <v>13</v>
      </c>
      <c r="C16" s="383">
        <v>0</v>
      </c>
      <c r="D16" s="91">
        <v>0</v>
      </c>
      <c r="E16" s="383">
        <v>0</v>
      </c>
      <c r="F16" s="383">
        <v>0</v>
      </c>
      <c r="G16" s="383">
        <v>0</v>
      </c>
      <c r="H16" s="383">
        <f t="shared" si="1"/>
        <v>0</v>
      </c>
      <c r="I16" s="396"/>
      <c r="J16" s="397"/>
      <c r="K16" s="396"/>
      <c r="L16" s="388"/>
      <c r="M16" s="396"/>
    </row>
    <row r="17" spans="1:13">
      <c r="A17" s="85" t="s">
        <v>118</v>
      </c>
      <c r="B17" s="86" t="s">
        <v>145</v>
      </c>
      <c r="C17" s="383">
        <v>0</v>
      </c>
      <c r="D17" s="91">
        <v>0</v>
      </c>
      <c r="E17" s="383">
        <v>0</v>
      </c>
      <c r="F17" s="383">
        <v>0</v>
      </c>
      <c r="G17" s="383">
        <v>0</v>
      </c>
      <c r="H17" s="383">
        <f t="shared" si="1"/>
        <v>0</v>
      </c>
      <c r="I17" s="396"/>
      <c r="J17" s="397"/>
      <c r="K17" s="396"/>
      <c r="L17" s="388"/>
      <c r="M17" s="396"/>
    </row>
    <row r="18" spans="1:13">
      <c r="A18" s="85" t="s">
        <v>119</v>
      </c>
      <c r="B18" s="86" t="s">
        <v>196</v>
      </c>
      <c r="C18" s="383">
        <v>0</v>
      </c>
      <c r="D18" s="91">
        <v>0</v>
      </c>
      <c r="E18" s="383">
        <v>0</v>
      </c>
      <c r="F18" s="383">
        <v>0</v>
      </c>
      <c r="G18" s="383">
        <v>0</v>
      </c>
      <c r="H18" s="383">
        <f t="shared" si="1"/>
        <v>0</v>
      </c>
      <c r="I18" s="396"/>
      <c r="J18" s="398"/>
      <c r="K18" s="396"/>
      <c r="L18" s="388"/>
      <c r="M18" s="388"/>
    </row>
    <row r="19" spans="1:13">
      <c r="A19" s="85" t="s">
        <v>120</v>
      </c>
      <c r="B19" s="86" t="s">
        <v>225</v>
      </c>
      <c r="C19" s="383">
        <v>0</v>
      </c>
      <c r="D19" s="91">
        <v>0</v>
      </c>
      <c r="E19" s="383">
        <v>0</v>
      </c>
      <c r="F19" s="383">
        <v>0</v>
      </c>
      <c r="G19" s="383">
        <v>0</v>
      </c>
      <c r="H19" s="383">
        <f t="shared" si="1"/>
        <v>0</v>
      </c>
      <c r="I19" s="396"/>
      <c r="J19" s="398"/>
      <c r="K19" s="396"/>
      <c r="L19" s="388"/>
      <c r="M19" s="388"/>
    </row>
    <row r="20" spans="1:13">
      <c r="A20" s="88" t="s">
        <v>127</v>
      </c>
      <c r="B20" s="89"/>
      <c r="C20" s="384">
        <f>SUM(C8:C19)</f>
        <v>9896.5000000000018</v>
      </c>
      <c r="D20" s="384">
        <f t="shared" ref="D20:H20" si="2">SUM(D8:D19)</f>
        <v>0</v>
      </c>
      <c r="E20" s="384">
        <f t="shared" si="2"/>
        <v>9889.4</v>
      </c>
      <c r="F20" s="384">
        <f t="shared" si="2"/>
        <v>10045.9</v>
      </c>
      <c r="G20" s="384">
        <f t="shared" si="2"/>
        <v>10534.1</v>
      </c>
      <c r="H20" s="384">
        <f t="shared" si="2"/>
        <v>-644.70000000000073</v>
      </c>
      <c r="I20" s="396"/>
      <c r="J20" s="398"/>
      <c r="K20" s="397"/>
      <c r="L20" s="388"/>
      <c r="M20" s="388"/>
    </row>
    <row r="21" spans="1:13">
      <c r="A21" s="85" t="s">
        <v>30</v>
      </c>
      <c r="B21" s="86" t="s">
        <v>14</v>
      </c>
      <c r="C21" s="383">
        <v>0</v>
      </c>
      <c r="D21" s="91">
        <v>0</v>
      </c>
      <c r="E21" s="383">
        <v>0</v>
      </c>
      <c r="F21" s="383">
        <v>0</v>
      </c>
      <c r="G21" s="383">
        <v>0</v>
      </c>
      <c r="H21" s="383">
        <f t="shared" ref="H21:H26" si="3">+E21-G21</f>
        <v>0</v>
      </c>
      <c r="I21" s="396"/>
      <c r="J21" s="398"/>
      <c r="K21" s="397"/>
      <c r="L21" s="388"/>
      <c r="M21" s="388"/>
    </row>
    <row r="22" spans="1:13">
      <c r="A22" s="85" t="s">
        <v>121</v>
      </c>
      <c r="B22" s="86" t="s">
        <v>15</v>
      </c>
      <c r="C22" s="383">
        <v>0</v>
      </c>
      <c r="D22" s="91">
        <v>0</v>
      </c>
      <c r="E22" s="383">
        <v>0</v>
      </c>
      <c r="F22" s="383">
        <v>0</v>
      </c>
      <c r="G22" s="383">
        <v>0</v>
      </c>
      <c r="H22" s="383">
        <f t="shared" si="3"/>
        <v>0</v>
      </c>
      <c r="I22" s="396"/>
      <c r="J22" s="398"/>
      <c r="K22" s="397"/>
      <c r="L22" s="388"/>
      <c r="M22" s="388"/>
    </row>
    <row r="23" spans="1:13">
      <c r="A23" s="85" t="s">
        <v>122</v>
      </c>
      <c r="B23" s="86" t="s">
        <v>202</v>
      </c>
      <c r="C23" s="383">
        <v>0</v>
      </c>
      <c r="D23" s="91">
        <v>0</v>
      </c>
      <c r="E23" s="383">
        <v>0</v>
      </c>
      <c r="F23" s="383">
        <v>0</v>
      </c>
      <c r="G23" s="383">
        <v>0</v>
      </c>
      <c r="H23" s="383">
        <f t="shared" si="3"/>
        <v>0</v>
      </c>
      <c r="I23" s="396"/>
      <c r="J23" s="128"/>
      <c r="K23" s="397"/>
      <c r="L23" s="388"/>
      <c r="M23" s="388"/>
    </row>
    <row r="24" spans="1:13">
      <c r="A24" s="85" t="s">
        <v>104</v>
      </c>
      <c r="B24" s="86" t="s">
        <v>17</v>
      </c>
      <c r="C24" s="383">
        <v>2</v>
      </c>
      <c r="D24" s="91">
        <v>0</v>
      </c>
      <c r="E24" s="383">
        <v>2</v>
      </c>
      <c r="F24" s="383">
        <v>1.7</v>
      </c>
      <c r="G24" s="383">
        <v>1.2</v>
      </c>
      <c r="H24" s="383">
        <f t="shared" si="3"/>
        <v>0.8</v>
      </c>
      <c r="I24" s="396"/>
      <c r="J24" s="128"/>
      <c r="K24" s="397"/>
      <c r="L24" s="388"/>
      <c r="M24" s="388"/>
    </row>
    <row r="25" spans="1:13">
      <c r="A25" s="85" t="s">
        <v>105</v>
      </c>
      <c r="B25" s="86" t="s">
        <v>149</v>
      </c>
      <c r="C25" s="383">
        <v>0</v>
      </c>
      <c r="D25" s="91">
        <v>0</v>
      </c>
      <c r="E25" s="383">
        <v>0</v>
      </c>
      <c r="F25" s="383">
        <v>0</v>
      </c>
      <c r="G25" s="383">
        <v>0</v>
      </c>
      <c r="H25" s="383">
        <f t="shared" si="3"/>
        <v>0</v>
      </c>
      <c r="I25" s="396"/>
      <c r="J25" s="128"/>
      <c r="K25" s="397"/>
      <c r="L25" s="388"/>
      <c r="M25" s="388"/>
    </row>
    <row r="26" spans="1:13">
      <c r="A26" s="85" t="s">
        <v>123</v>
      </c>
      <c r="B26" s="86" t="s">
        <v>150</v>
      </c>
      <c r="C26" s="383">
        <v>33.799999999999997</v>
      </c>
      <c r="D26" s="91">
        <v>27</v>
      </c>
      <c r="E26" s="383">
        <v>61.9</v>
      </c>
      <c r="F26" s="383">
        <v>53.8</v>
      </c>
      <c r="G26" s="383">
        <v>52.7</v>
      </c>
      <c r="H26" s="383">
        <f t="shared" si="3"/>
        <v>9.1999999999999957</v>
      </c>
      <c r="I26" s="396"/>
      <c r="J26" s="128"/>
      <c r="K26" s="397"/>
      <c r="L26" s="397"/>
      <c r="M26" s="388"/>
    </row>
    <row r="27" spans="1:13">
      <c r="A27" s="88" t="s">
        <v>128</v>
      </c>
      <c r="B27" s="89"/>
      <c r="C27" s="384">
        <f>SUM(C21:C26)</f>
        <v>35.799999999999997</v>
      </c>
      <c r="D27" s="384">
        <f t="shared" ref="D27:H27" si="4">SUM(D21:D26)</f>
        <v>27</v>
      </c>
      <c r="E27" s="384">
        <f t="shared" si="4"/>
        <v>63.9</v>
      </c>
      <c r="F27" s="384">
        <f t="shared" si="4"/>
        <v>55.5</v>
      </c>
      <c r="G27" s="384">
        <f t="shared" si="4"/>
        <v>53.900000000000006</v>
      </c>
      <c r="H27" s="384">
        <f t="shared" si="4"/>
        <v>9.9999999999999964</v>
      </c>
      <c r="I27" s="396"/>
      <c r="J27" s="128"/>
      <c r="K27" s="397"/>
      <c r="L27" s="397"/>
      <c r="M27" s="388"/>
    </row>
    <row r="28" spans="1:13">
      <c r="A28" s="85" t="s">
        <v>106</v>
      </c>
      <c r="B28" s="86" t="s">
        <v>18</v>
      </c>
      <c r="C28" s="383">
        <v>1006.5</v>
      </c>
      <c r="D28" s="91">
        <v>0</v>
      </c>
      <c r="E28" s="383">
        <v>1013.7</v>
      </c>
      <c r="F28" s="383">
        <v>944.9</v>
      </c>
      <c r="G28" s="383">
        <v>914.3</v>
      </c>
      <c r="H28" s="383">
        <f t="shared" ref="H28:H30" si="5">+E28-G28</f>
        <v>99.400000000000091</v>
      </c>
      <c r="I28" s="396"/>
      <c r="J28" s="128"/>
      <c r="K28" s="397"/>
      <c r="L28" s="397"/>
      <c r="M28" s="388"/>
    </row>
    <row r="29" spans="1:13">
      <c r="A29" s="85" t="s">
        <v>107</v>
      </c>
      <c r="B29" s="86" t="s">
        <v>124</v>
      </c>
      <c r="C29" s="383">
        <v>84.8</v>
      </c>
      <c r="D29" s="91">
        <v>0</v>
      </c>
      <c r="E29" s="383">
        <v>77.3</v>
      </c>
      <c r="F29" s="383">
        <v>71</v>
      </c>
      <c r="G29" s="383">
        <v>72.599999999999994</v>
      </c>
      <c r="H29" s="383">
        <f t="shared" si="5"/>
        <v>4.7000000000000028</v>
      </c>
      <c r="I29" s="396"/>
      <c r="J29" s="128"/>
      <c r="K29" s="397"/>
      <c r="L29" s="397"/>
      <c r="M29" s="388"/>
    </row>
    <row r="30" spans="1:13">
      <c r="A30" s="85" t="s">
        <v>108</v>
      </c>
      <c r="B30" s="86" t="s">
        <v>203</v>
      </c>
      <c r="C30" s="383">
        <v>0</v>
      </c>
      <c r="D30" s="91">
        <v>0</v>
      </c>
      <c r="E30" s="383">
        <v>0</v>
      </c>
      <c r="F30" s="383">
        <v>0</v>
      </c>
      <c r="G30" s="383">
        <v>0</v>
      </c>
      <c r="H30" s="383">
        <f t="shared" si="5"/>
        <v>0</v>
      </c>
      <c r="I30" s="396"/>
      <c r="J30" s="397"/>
      <c r="K30" s="397"/>
      <c r="L30" s="396"/>
    </row>
    <row r="31" spans="1:13">
      <c r="A31" s="529" t="s">
        <v>129</v>
      </c>
      <c r="B31" s="530"/>
      <c r="C31" s="385">
        <f>SUM(C28:C30)</f>
        <v>1091.3</v>
      </c>
      <c r="D31" s="385">
        <f t="shared" ref="D31:H31" si="6">SUM(D28:D30)</f>
        <v>0</v>
      </c>
      <c r="E31" s="385">
        <f t="shared" si="6"/>
        <v>1091</v>
      </c>
      <c r="F31" s="385">
        <f t="shared" si="6"/>
        <v>1015.9</v>
      </c>
      <c r="G31" s="385">
        <f t="shared" si="6"/>
        <v>986.9</v>
      </c>
      <c r="H31" s="385">
        <f t="shared" si="6"/>
        <v>104.10000000000009</v>
      </c>
      <c r="I31" s="396"/>
      <c r="J31" s="397"/>
      <c r="K31" s="397"/>
      <c r="L31" s="396"/>
    </row>
    <row r="32" spans="1:13">
      <c r="A32" s="85" t="s">
        <v>109</v>
      </c>
      <c r="B32" s="86" t="s">
        <v>19</v>
      </c>
      <c r="C32" s="383">
        <v>728.7</v>
      </c>
      <c r="D32" s="90">
        <v>0</v>
      </c>
      <c r="E32" s="383">
        <v>726.8</v>
      </c>
      <c r="F32" s="383">
        <v>684</v>
      </c>
      <c r="G32" s="383">
        <v>677.8</v>
      </c>
      <c r="H32" s="383">
        <f>+E32-G32</f>
        <v>49</v>
      </c>
      <c r="I32" s="396"/>
      <c r="J32" s="397"/>
      <c r="K32" s="397"/>
      <c r="L32" s="396"/>
    </row>
    <row r="33" spans="1:14" s="399" customFormat="1">
      <c r="A33" s="88" t="s">
        <v>130</v>
      </c>
      <c r="B33" s="94"/>
      <c r="C33" s="384">
        <f>SUM(C32)</f>
        <v>728.7</v>
      </c>
      <c r="D33" s="384">
        <f t="shared" ref="D33:H33" si="7">SUM(D32)</f>
        <v>0</v>
      </c>
      <c r="E33" s="384">
        <f t="shared" si="7"/>
        <v>726.8</v>
      </c>
      <c r="F33" s="384">
        <f t="shared" si="7"/>
        <v>684</v>
      </c>
      <c r="G33" s="384">
        <f t="shared" si="7"/>
        <v>677.8</v>
      </c>
      <c r="H33" s="384">
        <f t="shared" si="7"/>
        <v>49</v>
      </c>
      <c r="I33" s="396"/>
      <c r="J33" s="397"/>
      <c r="K33" s="397"/>
      <c r="L33" s="396"/>
    </row>
    <row r="34" spans="1:14">
      <c r="A34" s="92" t="s">
        <v>110</v>
      </c>
      <c r="B34" s="93" t="s">
        <v>20</v>
      </c>
      <c r="C34" s="382">
        <v>260.10000000000002</v>
      </c>
      <c r="D34" s="87">
        <v>0</v>
      </c>
      <c r="E34" s="382">
        <v>274.7</v>
      </c>
      <c r="F34" s="382">
        <v>223.6</v>
      </c>
      <c r="G34" s="382">
        <v>220.3</v>
      </c>
      <c r="H34" s="383">
        <f t="shared" ref="H34:H37" si="8">+E34-G34</f>
        <v>54.399999999999977</v>
      </c>
      <c r="I34" s="396"/>
      <c r="J34" s="397"/>
      <c r="K34" s="397"/>
      <c r="L34" s="396"/>
    </row>
    <row r="35" spans="1:14">
      <c r="A35" s="85" t="s">
        <v>111</v>
      </c>
      <c r="B35" s="86" t="s">
        <v>21</v>
      </c>
      <c r="C35" s="383">
        <v>182</v>
      </c>
      <c r="D35" s="91">
        <v>0</v>
      </c>
      <c r="E35" s="383">
        <v>180.4</v>
      </c>
      <c r="F35" s="383">
        <v>145.19999999999999</v>
      </c>
      <c r="G35" s="383">
        <v>143.80000000000001</v>
      </c>
      <c r="H35" s="383">
        <f t="shared" si="8"/>
        <v>36.599999999999994</v>
      </c>
      <c r="I35" s="396"/>
      <c r="J35" s="396"/>
      <c r="K35" s="396"/>
      <c r="L35" s="396"/>
    </row>
    <row r="36" spans="1:14">
      <c r="A36" s="85" t="s">
        <v>112</v>
      </c>
      <c r="B36" s="86" t="s">
        <v>22</v>
      </c>
      <c r="C36" s="383">
        <v>12.1</v>
      </c>
      <c r="D36" s="91">
        <v>0</v>
      </c>
      <c r="E36" s="383">
        <v>5</v>
      </c>
      <c r="F36" s="383">
        <v>5</v>
      </c>
      <c r="G36" s="383">
        <v>5</v>
      </c>
      <c r="H36" s="383">
        <f t="shared" si="8"/>
        <v>0</v>
      </c>
      <c r="I36" s="396"/>
      <c r="J36" s="396"/>
      <c r="K36" s="396"/>
      <c r="L36" s="396"/>
    </row>
    <row r="37" spans="1:14">
      <c r="A37" s="85" t="s">
        <v>113</v>
      </c>
      <c r="B37" s="86" t="s">
        <v>23</v>
      </c>
      <c r="C37" s="383">
        <v>205</v>
      </c>
      <c r="D37" s="91">
        <v>0</v>
      </c>
      <c r="E37" s="383">
        <v>207.3</v>
      </c>
      <c r="F37" s="383">
        <v>152.80000000000001</v>
      </c>
      <c r="G37" s="383">
        <v>150.69999999999999</v>
      </c>
      <c r="H37" s="383">
        <f t="shared" si="8"/>
        <v>56.600000000000023</v>
      </c>
      <c r="I37" s="396"/>
      <c r="J37" s="396"/>
      <c r="K37" s="396"/>
      <c r="L37" s="396"/>
    </row>
    <row r="38" spans="1:14" s="399" customFormat="1">
      <c r="A38" s="88" t="s">
        <v>131</v>
      </c>
      <c r="B38" s="94"/>
      <c r="C38" s="384">
        <f>SUM(C34:C37)</f>
        <v>659.2</v>
      </c>
      <c r="D38" s="384">
        <f t="shared" ref="D38:H38" si="9">SUM(D34:D37)</f>
        <v>0</v>
      </c>
      <c r="E38" s="384">
        <f t="shared" si="9"/>
        <v>667.40000000000009</v>
      </c>
      <c r="F38" s="384">
        <f t="shared" si="9"/>
        <v>526.59999999999991</v>
      </c>
      <c r="G38" s="384">
        <f t="shared" si="9"/>
        <v>519.79999999999995</v>
      </c>
      <c r="H38" s="384">
        <f t="shared" si="9"/>
        <v>147.6</v>
      </c>
      <c r="I38" s="396"/>
      <c r="J38" s="396"/>
      <c r="K38" s="396"/>
      <c r="L38" s="396"/>
    </row>
    <row r="39" spans="1:14">
      <c r="A39" s="85" t="s">
        <v>199</v>
      </c>
      <c r="B39" s="86" t="s">
        <v>204</v>
      </c>
      <c r="C39" s="383">
        <v>0</v>
      </c>
      <c r="D39" s="91">
        <v>0</v>
      </c>
      <c r="E39" s="383">
        <v>0</v>
      </c>
      <c r="F39" s="383">
        <v>0</v>
      </c>
      <c r="G39" s="383">
        <v>0</v>
      </c>
      <c r="H39" s="383">
        <f>+E39-G39</f>
        <v>0</v>
      </c>
      <c r="I39" s="396"/>
      <c r="J39" s="396"/>
      <c r="K39" s="396"/>
      <c r="L39" s="396"/>
    </row>
    <row r="40" spans="1:14" s="399" customFormat="1">
      <c r="A40" s="88" t="s">
        <v>205</v>
      </c>
      <c r="B40" s="94"/>
      <c r="C40" s="384">
        <f>SUM(C39)</f>
        <v>0</v>
      </c>
      <c r="D40" s="384">
        <f t="shared" ref="D40:H40" si="10">SUM(D39)</f>
        <v>0</v>
      </c>
      <c r="E40" s="384">
        <f t="shared" si="10"/>
        <v>0</v>
      </c>
      <c r="F40" s="384">
        <f t="shared" si="10"/>
        <v>0</v>
      </c>
      <c r="G40" s="384">
        <f t="shared" si="10"/>
        <v>0</v>
      </c>
      <c r="H40" s="384">
        <f t="shared" si="10"/>
        <v>0</v>
      </c>
      <c r="I40" s="396"/>
      <c r="J40" s="396"/>
      <c r="K40" s="396"/>
      <c r="L40" s="396"/>
    </row>
    <row r="41" spans="1:14" s="399" customFormat="1" ht="41.25" customHeight="1">
      <c r="A41" s="95" t="s">
        <v>2</v>
      </c>
      <c r="B41" s="94"/>
      <c r="C41" s="384">
        <f>SUM(C40,C38,C33,C31,C27,C20,C7)</f>
        <v>12855.600000000002</v>
      </c>
      <c r="D41" s="384">
        <f t="shared" ref="D41:H41" si="11">SUM(D40,D38,D33,D31,D27,D20,D7)</f>
        <v>27</v>
      </c>
      <c r="E41" s="384">
        <f t="shared" si="11"/>
        <v>12882.6</v>
      </c>
      <c r="F41" s="384">
        <f t="shared" si="11"/>
        <v>12747.699999999999</v>
      </c>
      <c r="G41" s="384">
        <f t="shared" si="11"/>
        <v>13190</v>
      </c>
      <c r="H41" s="384">
        <f t="shared" si="11"/>
        <v>-307.4000000000006</v>
      </c>
      <c r="I41" s="396"/>
      <c r="J41" s="396"/>
      <c r="K41" s="396"/>
      <c r="L41" s="396"/>
    </row>
    <row r="42" spans="1:14">
      <c r="J42" s="396"/>
      <c r="N42" s="400"/>
    </row>
    <row r="43" spans="1:14">
      <c r="A43" s="401" t="s">
        <v>369</v>
      </c>
      <c r="B43" s="395"/>
      <c r="C43" s="395"/>
      <c r="D43" s="395"/>
      <c r="E43" s="395"/>
      <c r="F43" s="395"/>
      <c r="G43" s="395"/>
      <c r="H43" s="402"/>
      <c r="I43" s="402"/>
      <c r="J43" s="402"/>
    </row>
    <row r="44" spans="1:14">
      <c r="A44" s="403" t="s">
        <v>370</v>
      </c>
      <c r="B44" s="395"/>
      <c r="C44" s="404"/>
      <c r="D44" s="395"/>
      <c r="E44" s="395"/>
      <c r="F44" s="395"/>
      <c r="G44" s="395"/>
      <c r="H44" s="402"/>
      <c r="I44" s="402"/>
      <c r="J44" s="402"/>
    </row>
    <row r="45" spans="1:14">
      <c r="A45" s="98" t="s">
        <v>397</v>
      </c>
      <c r="B45" s="98"/>
      <c r="J45" s="396"/>
    </row>
    <row r="46" spans="1:14">
      <c r="A46" s="405" t="s">
        <v>398</v>
      </c>
      <c r="B46" s="395"/>
      <c r="C46" s="395"/>
      <c r="D46" s="395"/>
      <c r="E46" s="395"/>
      <c r="F46" s="395"/>
      <c r="G46" s="395"/>
      <c r="H46" s="402"/>
      <c r="I46" s="402"/>
      <c r="J46" s="402"/>
    </row>
    <row r="47" spans="1:14">
      <c r="A47" s="406" t="s">
        <v>399</v>
      </c>
      <c r="B47" s="98"/>
      <c r="C47" s="407"/>
      <c r="D47" s="407"/>
      <c r="E47" s="407"/>
      <c r="F47" s="407"/>
      <c r="G47" s="407"/>
      <c r="H47" s="402"/>
      <c r="I47" s="402"/>
      <c r="J47" s="402"/>
    </row>
    <row r="48" spans="1:14">
      <c r="A48" s="98"/>
      <c r="B48" s="98"/>
      <c r="C48" s="96"/>
      <c r="D48" s="96"/>
      <c r="E48" s="96"/>
      <c r="F48" s="96"/>
      <c r="G48" s="96"/>
      <c r="J48" s="418"/>
      <c r="K48" s="419"/>
    </row>
    <row r="49" spans="3:11">
      <c r="C49" s="96"/>
      <c r="D49" s="96"/>
      <c r="E49" s="96"/>
      <c r="F49" s="96"/>
      <c r="G49" s="96"/>
      <c r="J49" s="418"/>
      <c r="K49" s="419"/>
    </row>
    <row r="50" spans="3:11">
      <c r="J50" s="418"/>
      <c r="K50" s="419"/>
    </row>
    <row r="51" spans="3:11">
      <c r="J51" s="418"/>
      <c r="K51" s="419"/>
    </row>
    <row r="52" spans="3:11">
      <c r="J52" s="396"/>
      <c r="K52" s="419"/>
    </row>
    <row r="53" spans="3:11">
      <c r="J53" s="396"/>
    </row>
    <row r="54" spans="3:11">
      <c r="J54" s="396"/>
    </row>
    <row r="55" spans="3:11">
      <c r="J55" s="396"/>
    </row>
    <row r="56" spans="3:11">
      <c r="J56" s="396"/>
    </row>
    <row r="57" spans="3:11">
      <c r="J57" s="396"/>
    </row>
    <row r="58" spans="3:11">
      <c r="J58" s="396"/>
    </row>
  </sheetData>
  <mergeCells count="4">
    <mergeCell ref="A1:H1"/>
    <mergeCell ref="A2:H2"/>
    <mergeCell ref="A3:H3"/>
    <mergeCell ref="A31:B31"/>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89"/>
  <sheetViews>
    <sheetView topLeftCell="A31" zoomScale="80" zoomScaleNormal="80" workbookViewId="0">
      <selection activeCell="F14" sqref="F14"/>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84" customWidth="1"/>
    <col min="14" max="14" width="15" style="1" customWidth="1"/>
    <col min="15" max="16384" width="9.109375" style="1"/>
  </cols>
  <sheetData>
    <row r="1" spans="1:20" s="4" customFormat="1" ht="16.2">
      <c r="A1" s="187" t="s">
        <v>3</v>
      </c>
      <c r="B1" s="187"/>
      <c r="C1" s="187"/>
      <c r="D1" s="187"/>
      <c r="E1" s="187"/>
      <c r="F1" s="187"/>
      <c r="G1" s="187"/>
      <c r="H1" s="187"/>
      <c r="I1" s="187"/>
      <c r="J1" s="187"/>
      <c r="M1" s="183"/>
    </row>
    <row r="2" spans="1:20">
      <c r="A2" s="188" t="s">
        <v>260</v>
      </c>
      <c r="B2" s="188"/>
      <c r="C2" s="188"/>
      <c r="D2" s="188"/>
      <c r="E2" s="188"/>
      <c r="F2" s="188"/>
      <c r="G2" s="188"/>
      <c r="H2" s="188"/>
      <c r="I2" s="188"/>
      <c r="J2" s="188"/>
    </row>
    <row r="3" spans="1:20">
      <c r="A3" s="188" t="s">
        <v>424</v>
      </c>
      <c r="B3" s="188"/>
      <c r="C3" s="188"/>
      <c r="D3" s="188"/>
      <c r="E3" s="188"/>
      <c r="F3" s="188"/>
      <c r="G3" s="188"/>
      <c r="H3" s="188"/>
      <c r="I3" s="188"/>
      <c r="J3" s="188"/>
    </row>
    <row r="4" spans="1:20">
      <c r="A4" s="189"/>
      <c r="B4" s="190"/>
      <c r="C4" s="191"/>
      <c r="D4" s="192"/>
      <c r="E4" s="192"/>
      <c r="F4" s="192"/>
      <c r="G4" s="192"/>
      <c r="H4" s="192"/>
      <c r="I4" s="192"/>
      <c r="J4" s="192"/>
    </row>
    <row r="5" spans="1:20" s="15" customFormat="1">
      <c r="A5" s="193"/>
      <c r="B5" s="194" t="s">
        <v>249</v>
      </c>
      <c r="C5" s="195"/>
      <c r="D5" s="196" t="s">
        <v>170</v>
      </c>
      <c r="E5" s="196" t="s">
        <v>171</v>
      </c>
      <c r="F5" s="197" t="s">
        <v>286</v>
      </c>
      <c r="G5" s="197" t="s">
        <v>53</v>
      </c>
      <c r="H5" s="198" t="s">
        <v>54</v>
      </c>
      <c r="I5" s="195"/>
      <c r="J5" s="197"/>
      <c r="K5" s="189"/>
      <c r="M5" s="185"/>
    </row>
    <row r="6" spans="1:20" s="15" customFormat="1">
      <c r="A6" s="199" t="s">
        <v>51</v>
      </c>
      <c r="B6" s="200" t="s">
        <v>55</v>
      </c>
      <c r="C6" s="201" t="s">
        <v>31</v>
      </c>
      <c r="D6" s="202" t="s">
        <v>32</v>
      </c>
      <c r="E6" s="202" t="s">
        <v>32</v>
      </c>
      <c r="F6" s="201" t="s">
        <v>172</v>
      </c>
      <c r="G6" s="203" t="s">
        <v>38</v>
      </c>
      <c r="H6" s="204" t="s">
        <v>56</v>
      </c>
      <c r="I6" s="203" t="s">
        <v>34</v>
      </c>
      <c r="J6" s="203" t="s">
        <v>35</v>
      </c>
      <c r="K6" s="189"/>
      <c r="M6" s="185"/>
    </row>
    <row r="7" spans="1:20" s="15" customFormat="1">
      <c r="A7" s="205"/>
      <c r="B7" s="206"/>
      <c r="C7" s="206"/>
      <c r="D7" s="206"/>
      <c r="E7" s="206"/>
      <c r="F7" s="206"/>
      <c r="G7" s="207"/>
      <c r="H7" s="207"/>
      <c r="I7" s="207"/>
      <c r="J7" s="207"/>
      <c r="K7" s="189"/>
      <c r="M7" s="185"/>
    </row>
    <row r="8" spans="1:20" s="15" customFormat="1">
      <c r="A8" s="208" t="s">
        <v>57</v>
      </c>
      <c r="B8" s="209" t="s">
        <v>58</v>
      </c>
      <c r="C8" s="210">
        <v>734307786</v>
      </c>
      <c r="D8" s="210">
        <f>E8+F8</f>
        <v>216962692</v>
      </c>
      <c r="E8" s="210">
        <v>216077563</v>
      </c>
      <c r="F8" s="210">
        <v>885129</v>
      </c>
      <c r="G8" s="210">
        <v>951270478</v>
      </c>
      <c r="H8" s="210">
        <v>750761369.4199512</v>
      </c>
      <c r="I8" s="210">
        <v>926339288</v>
      </c>
      <c r="J8" s="210">
        <f>G8-I8</f>
        <v>24931190</v>
      </c>
      <c r="K8" s="211">
        <f>G8-C8-D8</f>
        <v>0</v>
      </c>
      <c r="M8" s="186"/>
    </row>
    <row r="9" spans="1:20" s="15" customFormat="1">
      <c r="A9" s="208" t="s">
        <v>59</v>
      </c>
      <c r="B9" s="209" t="s">
        <v>60</v>
      </c>
      <c r="C9" s="210">
        <v>11480121</v>
      </c>
      <c r="D9" s="210">
        <f t="shared" ref="D9:D11" si="0">E9+F9</f>
        <v>1733302</v>
      </c>
      <c r="E9" s="210">
        <v>1868808</v>
      </c>
      <c r="F9" s="210">
        <v>-135506</v>
      </c>
      <c r="G9" s="210">
        <v>13213423</v>
      </c>
      <c r="H9" s="210">
        <v>11063760.849999975</v>
      </c>
      <c r="I9" s="210">
        <v>12983250</v>
      </c>
      <c r="J9" s="210">
        <f>G9-I9</f>
        <v>230173</v>
      </c>
      <c r="K9" s="211">
        <f t="shared" ref="K9:K56" si="1">G9-C9-D9</f>
        <v>0</v>
      </c>
      <c r="M9" s="186"/>
    </row>
    <row r="10" spans="1:20" s="15" customFormat="1">
      <c r="A10" s="208" t="s">
        <v>61</v>
      </c>
      <c r="B10" s="209" t="s">
        <v>62</v>
      </c>
      <c r="C10" s="210">
        <v>8124749</v>
      </c>
      <c r="D10" s="210">
        <f t="shared" si="0"/>
        <v>0</v>
      </c>
      <c r="E10" s="210">
        <v>0</v>
      </c>
      <c r="F10" s="210">
        <v>0</v>
      </c>
      <c r="G10" s="210">
        <v>8124749</v>
      </c>
      <c r="H10" s="210">
        <v>2240172.75</v>
      </c>
      <c r="I10" s="210">
        <v>8124749</v>
      </c>
      <c r="J10" s="210">
        <f>G10-I10</f>
        <v>0</v>
      </c>
      <c r="K10" s="211">
        <f t="shared" si="1"/>
        <v>0</v>
      </c>
      <c r="L10" s="40"/>
      <c r="M10" s="186"/>
      <c r="O10" s="40"/>
      <c r="P10" s="40"/>
      <c r="Q10" s="40"/>
      <c r="R10" s="40"/>
      <c r="S10" s="40"/>
      <c r="T10" s="40"/>
    </row>
    <row r="11" spans="1:20" s="15" customFormat="1">
      <c r="A11" s="208" t="s">
        <v>138</v>
      </c>
      <c r="B11" s="212" t="s">
        <v>146</v>
      </c>
      <c r="C11" s="210">
        <v>172456496</v>
      </c>
      <c r="D11" s="210">
        <f t="shared" si="0"/>
        <v>-3574088</v>
      </c>
      <c r="E11" s="210">
        <v>-2824465</v>
      </c>
      <c r="F11" s="210">
        <v>-749623</v>
      </c>
      <c r="G11" s="210">
        <v>168882408</v>
      </c>
      <c r="H11" s="210">
        <v>147721996.01000005</v>
      </c>
      <c r="I11" s="210">
        <v>168882408</v>
      </c>
      <c r="J11" s="210">
        <f>G11-I11</f>
        <v>0</v>
      </c>
      <c r="K11" s="211">
        <f t="shared" si="1"/>
        <v>0</v>
      </c>
      <c r="M11" s="186"/>
    </row>
    <row r="12" spans="1:20" s="15" customFormat="1" ht="11.25" customHeight="1">
      <c r="A12" s="208"/>
      <c r="B12" s="212"/>
      <c r="C12" s="210"/>
      <c r="D12" s="210"/>
      <c r="E12" s="210"/>
      <c r="F12" s="210"/>
      <c r="G12" s="210"/>
      <c r="H12" s="210"/>
      <c r="I12" s="210"/>
      <c r="J12" s="210"/>
      <c r="K12" s="211">
        <f t="shared" si="1"/>
        <v>0</v>
      </c>
      <c r="M12" s="186"/>
    </row>
    <row r="13" spans="1:20" s="15" customFormat="1" ht="16.2">
      <c r="A13" s="213" t="s">
        <v>63</v>
      </c>
      <c r="B13" s="214"/>
      <c r="C13" s="215">
        <f t="shared" ref="C13:I13" si="2">SUM(C8:C11)</f>
        <v>926369152</v>
      </c>
      <c r="D13" s="215">
        <f t="shared" si="2"/>
        <v>215121906</v>
      </c>
      <c r="E13" s="215">
        <v>215121906</v>
      </c>
      <c r="F13" s="215">
        <f t="shared" si="2"/>
        <v>0</v>
      </c>
      <c r="G13" s="215">
        <f t="shared" si="2"/>
        <v>1141491058</v>
      </c>
      <c r="H13" s="215">
        <f t="shared" si="2"/>
        <v>911787299.02995133</v>
      </c>
      <c r="I13" s="215">
        <f t="shared" si="2"/>
        <v>1116329695</v>
      </c>
      <c r="J13" s="215">
        <f>SUM(J8:J11)</f>
        <v>25161363</v>
      </c>
      <c r="K13" s="211">
        <f t="shared" si="1"/>
        <v>0</v>
      </c>
      <c r="M13" s="186"/>
    </row>
    <row r="14" spans="1:20" s="15" customFormat="1" ht="12" customHeight="1">
      <c r="A14" s="216"/>
      <c r="B14" s="217"/>
      <c r="C14" s="218"/>
      <c r="D14" s="218"/>
      <c r="E14" s="218"/>
      <c r="F14" s="218"/>
      <c r="G14" s="218"/>
      <c r="H14" s="218"/>
      <c r="I14" s="218"/>
      <c r="J14" s="218"/>
      <c r="K14" s="211">
        <f t="shared" si="1"/>
        <v>0</v>
      </c>
      <c r="M14" s="186"/>
    </row>
    <row r="15" spans="1:20" s="15" customFormat="1">
      <c r="A15" s="219" t="s">
        <v>64</v>
      </c>
      <c r="B15" s="220" t="s">
        <v>65</v>
      </c>
      <c r="C15" s="210">
        <v>5685701</v>
      </c>
      <c r="D15" s="210">
        <f t="shared" ref="D15" si="3">E15+F15</f>
        <v>0</v>
      </c>
      <c r="E15" s="210">
        <v>0</v>
      </c>
      <c r="F15" s="210">
        <v>0</v>
      </c>
      <c r="G15" s="210">
        <v>5685701</v>
      </c>
      <c r="H15" s="210">
        <v>5685701</v>
      </c>
      <c r="I15" s="210">
        <v>5685701</v>
      </c>
      <c r="J15" s="210">
        <f>G15-I15</f>
        <v>0</v>
      </c>
      <c r="K15" s="211">
        <f t="shared" si="1"/>
        <v>0</v>
      </c>
      <c r="M15" s="186"/>
    </row>
    <row r="16" spans="1:20" s="15" customFormat="1" ht="12.75" customHeight="1">
      <c r="A16" s="219"/>
      <c r="B16" s="220"/>
      <c r="C16" s="210"/>
      <c r="D16" s="210"/>
      <c r="E16" s="210"/>
      <c r="F16" s="210"/>
      <c r="G16" s="210"/>
      <c r="H16" s="210"/>
      <c r="I16" s="210"/>
      <c r="J16" s="210"/>
      <c r="K16" s="211">
        <f t="shared" si="1"/>
        <v>0</v>
      </c>
      <c r="M16" s="186"/>
    </row>
    <row r="17" spans="1:13" s="15" customFormat="1" ht="16.2">
      <c r="A17" s="213" t="s">
        <v>66</v>
      </c>
      <c r="B17" s="214"/>
      <c r="C17" s="215">
        <f t="shared" ref="C17:J17" si="4">SUM(C15:C15)</f>
        <v>5685701</v>
      </c>
      <c r="D17" s="215">
        <f t="shared" si="4"/>
        <v>0</v>
      </c>
      <c r="E17" s="215">
        <v>0</v>
      </c>
      <c r="F17" s="215">
        <f t="shared" si="4"/>
        <v>0</v>
      </c>
      <c r="G17" s="215">
        <f t="shared" ref="G17" si="5">SUM(G15:G15)</f>
        <v>5685701</v>
      </c>
      <c r="H17" s="215">
        <f t="shared" si="4"/>
        <v>5685701</v>
      </c>
      <c r="I17" s="215">
        <f t="shared" si="4"/>
        <v>5685701</v>
      </c>
      <c r="J17" s="215">
        <f t="shared" si="4"/>
        <v>0</v>
      </c>
      <c r="K17" s="211">
        <f t="shared" si="1"/>
        <v>0</v>
      </c>
      <c r="M17" s="186"/>
    </row>
    <row r="18" spans="1:13" s="19" customFormat="1" ht="16.2">
      <c r="A18" s="216"/>
      <c r="B18" s="217"/>
      <c r="C18" s="218"/>
      <c r="D18" s="218"/>
      <c r="E18" s="218"/>
      <c r="F18" s="218"/>
      <c r="G18" s="218"/>
      <c r="H18" s="218"/>
      <c r="I18" s="218"/>
      <c r="J18" s="218"/>
      <c r="K18" s="211">
        <f t="shared" si="1"/>
        <v>0</v>
      </c>
      <c r="M18" s="186"/>
    </row>
    <row r="19" spans="1:13" s="15" customFormat="1" ht="16.2">
      <c r="A19" s="213" t="s">
        <v>39</v>
      </c>
      <c r="B19" s="221"/>
      <c r="C19" s="215">
        <f>SUM(C17,C13)</f>
        <v>932054853</v>
      </c>
      <c r="D19" s="215">
        <f>SUM(D17,D13)</f>
        <v>215121906</v>
      </c>
      <c r="E19" s="215">
        <v>215121906</v>
      </c>
      <c r="F19" s="215">
        <f>SUM(F17,F13)</f>
        <v>0</v>
      </c>
      <c r="G19" s="215">
        <f t="shared" ref="G19" si="6">SUM(G17,G13)</f>
        <v>1147176759</v>
      </c>
      <c r="H19" s="215">
        <f>SUM(H17,H13)</f>
        <v>917473000.02995133</v>
      </c>
      <c r="I19" s="215">
        <f>SUM(I17,I13)</f>
        <v>1122015396</v>
      </c>
      <c r="J19" s="215">
        <f>SUM(J17,J13)</f>
        <v>25161363</v>
      </c>
      <c r="K19" s="211">
        <f t="shared" si="1"/>
        <v>0</v>
      </c>
      <c r="M19" s="186"/>
    </row>
    <row r="20" spans="1:13" s="15" customFormat="1" ht="16.2">
      <c r="A20" s="216"/>
      <c r="B20" s="222"/>
      <c r="C20" s="218"/>
      <c r="D20" s="218"/>
      <c r="E20" s="218"/>
      <c r="F20" s="218"/>
      <c r="G20" s="218"/>
      <c r="H20" s="218"/>
      <c r="I20" s="218"/>
      <c r="J20" s="218"/>
      <c r="K20" s="211">
        <f t="shared" si="1"/>
        <v>0</v>
      </c>
      <c r="M20" s="186"/>
    </row>
    <row r="21" spans="1:13" s="15" customFormat="1">
      <c r="A21" s="223" t="s">
        <v>67</v>
      </c>
      <c r="B21" s="224" t="s">
        <v>140</v>
      </c>
      <c r="C21" s="210">
        <v>29778704</v>
      </c>
      <c r="D21" s="210">
        <f t="shared" ref="D21:D47" si="7">E21+F21</f>
        <v>-9606</v>
      </c>
      <c r="E21" s="210">
        <v>-9606</v>
      </c>
      <c r="F21" s="210">
        <v>0</v>
      </c>
      <c r="G21" s="210">
        <v>29769098</v>
      </c>
      <c r="H21" s="210">
        <v>24335662.760000028</v>
      </c>
      <c r="I21" s="210">
        <v>29769098</v>
      </c>
      <c r="J21" s="210">
        <f t="shared" ref="J21:J47" si="8">G21-I21</f>
        <v>0</v>
      </c>
      <c r="K21" s="211">
        <f t="shared" si="1"/>
        <v>0</v>
      </c>
      <c r="M21" s="186"/>
    </row>
    <row r="22" spans="1:13" s="15" customFormat="1">
      <c r="A22" s="223" t="s">
        <v>141</v>
      </c>
      <c r="B22" s="225" t="s">
        <v>139</v>
      </c>
      <c r="C22" s="210">
        <v>2797802</v>
      </c>
      <c r="D22" s="210">
        <f t="shared" si="7"/>
        <v>-1303593</v>
      </c>
      <c r="E22" s="210">
        <v>-1303593</v>
      </c>
      <c r="F22" s="210">
        <v>0</v>
      </c>
      <c r="G22" s="210">
        <v>1494209</v>
      </c>
      <c r="H22" s="210">
        <v>14759.1</v>
      </c>
      <c r="I22" s="210">
        <v>1494209</v>
      </c>
      <c r="J22" s="210">
        <f t="shared" si="8"/>
        <v>0</v>
      </c>
      <c r="K22" s="211">
        <f t="shared" si="1"/>
        <v>0</v>
      </c>
      <c r="M22" s="186"/>
    </row>
    <row r="23" spans="1:13" s="15" customFormat="1">
      <c r="A23" s="226" t="s">
        <v>68</v>
      </c>
      <c r="B23" s="227" t="s">
        <v>69</v>
      </c>
      <c r="C23" s="210">
        <v>303818749</v>
      </c>
      <c r="D23" s="210">
        <f t="shared" si="7"/>
        <v>3201223</v>
      </c>
      <c r="E23" s="210">
        <v>3201223</v>
      </c>
      <c r="F23" s="210">
        <v>0</v>
      </c>
      <c r="G23" s="210">
        <v>307019972</v>
      </c>
      <c r="H23" s="210">
        <v>273288122.87999946</v>
      </c>
      <c r="I23" s="210">
        <v>305566643</v>
      </c>
      <c r="J23" s="210">
        <f>G23-I23</f>
        <v>1453329</v>
      </c>
      <c r="K23" s="211">
        <f t="shared" si="1"/>
        <v>0</v>
      </c>
      <c r="M23" s="186"/>
    </row>
    <row r="24" spans="1:13" s="15" customFormat="1">
      <c r="A24" s="226" t="s">
        <v>70</v>
      </c>
      <c r="B24" s="227" t="s">
        <v>71</v>
      </c>
      <c r="C24" s="210">
        <v>6564254</v>
      </c>
      <c r="D24" s="210">
        <f t="shared" si="7"/>
        <v>-4113328</v>
      </c>
      <c r="E24" s="210">
        <v>-4113328</v>
      </c>
      <c r="F24" s="210">
        <v>0</v>
      </c>
      <c r="G24" s="210">
        <v>2450926</v>
      </c>
      <c r="H24" s="210">
        <v>1966196.6600000001</v>
      </c>
      <c r="I24" s="210">
        <v>2389126</v>
      </c>
      <c r="J24" s="210">
        <f t="shared" si="8"/>
        <v>61800</v>
      </c>
      <c r="K24" s="211">
        <f t="shared" si="1"/>
        <v>0</v>
      </c>
      <c r="M24" s="186"/>
    </row>
    <row r="25" spans="1:13" s="15" customFormat="1">
      <c r="A25" s="226" t="s">
        <v>72</v>
      </c>
      <c r="B25" s="227" t="s">
        <v>73</v>
      </c>
      <c r="C25" s="210">
        <v>31158166</v>
      </c>
      <c r="D25" s="210">
        <f t="shared" si="7"/>
        <v>0</v>
      </c>
      <c r="E25" s="210">
        <v>0</v>
      </c>
      <c r="F25" s="210">
        <v>0</v>
      </c>
      <c r="G25" s="210">
        <v>31158166</v>
      </c>
      <c r="H25" s="210">
        <v>24621404.780000031</v>
      </c>
      <c r="I25" s="210">
        <v>31158166</v>
      </c>
      <c r="J25" s="210">
        <f t="shared" si="8"/>
        <v>0</v>
      </c>
      <c r="K25" s="211">
        <f t="shared" si="1"/>
        <v>0</v>
      </c>
      <c r="M25" s="186"/>
    </row>
    <row r="26" spans="1:13" s="15" customFormat="1">
      <c r="A26" s="228" t="s">
        <v>74</v>
      </c>
      <c r="B26" s="227" t="s">
        <v>75</v>
      </c>
      <c r="C26" s="210">
        <v>3207461</v>
      </c>
      <c r="D26" s="210">
        <f t="shared" si="7"/>
        <v>1088701</v>
      </c>
      <c r="E26" s="210">
        <v>1088701</v>
      </c>
      <c r="F26" s="210">
        <v>0</v>
      </c>
      <c r="G26" s="210">
        <v>4296162</v>
      </c>
      <c r="H26" s="210">
        <v>3471459.6099999766</v>
      </c>
      <c r="I26" s="210">
        <v>4296162</v>
      </c>
      <c r="J26" s="210">
        <f t="shared" si="8"/>
        <v>0</v>
      </c>
      <c r="K26" s="211">
        <f t="shared" si="1"/>
        <v>0</v>
      </c>
      <c r="M26" s="186"/>
    </row>
    <row r="27" spans="1:13" s="15" customFormat="1">
      <c r="A27" s="228" t="s">
        <v>76</v>
      </c>
      <c r="B27" s="227" t="s">
        <v>77</v>
      </c>
      <c r="C27" s="210">
        <v>5840638</v>
      </c>
      <c r="D27" s="210">
        <f t="shared" si="7"/>
        <v>-1758476</v>
      </c>
      <c r="E27" s="210">
        <v>-1758476</v>
      </c>
      <c r="F27" s="210">
        <v>0</v>
      </c>
      <c r="G27" s="210">
        <v>4082162</v>
      </c>
      <c r="H27" s="210">
        <v>1526402.1400000004</v>
      </c>
      <c r="I27" s="210">
        <v>2330929</v>
      </c>
      <c r="J27" s="210">
        <f t="shared" si="8"/>
        <v>1751233</v>
      </c>
      <c r="K27" s="211">
        <f t="shared" si="1"/>
        <v>0</v>
      </c>
      <c r="M27" s="186"/>
    </row>
    <row r="28" spans="1:13" s="15" customFormat="1">
      <c r="A28" s="228" t="s">
        <v>78</v>
      </c>
      <c r="B28" s="229" t="s">
        <v>79</v>
      </c>
      <c r="C28" s="210">
        <v>8294000</v>
      </c>
      <c r="D28" s="210">
        <f t="shared" si="7"/>
        <v>1858665</v>
      </c>
      <c r="E28" s="210">
        <v>1858665</v>
      </c>
      <c r="F28" s="210">
        <v>0</v>
      </c>
      <c r="G28" s="210">
        <v>10152665</v>
      </c>
      <c r="H28" s="210">
        <v>0</v>
      </c>
      <c r="I28" s="210">
        <v>10152665</v>
      </c>
      <c r="J28" s="210">
        <f t="shared" si="8"/>
        <v>0</v>
      </c>
      <c r="K28" s="211">
        <f t="shared" si="1"/>
        <v>0</v>
      </c>
      <c r="M28" s="186"/>
    </row>
    <row r="29" spans="1:13" s="15" customFormat="1">
      <c r="A29" s="228" t="s">
        <v>144</v>
      </c>
      <c r="B29" s="229" t="s">
        <v>151</v>
      </c>
      <c r="C29" s="210">
        <v>0</v>
      </c>
      <c r="D29" s="210">
        <f t="shared" si="7"/>
        <v>119133</v>
      </c>
      <c r="E29" s="210">
        <v>119133</v>
      </c>
      <c r="F29" s="210">
        <v>0</v>
      </c>
      <c r="G29" s="210">
        <v>119133</v>
      </c>
      <c r="H29" s="210">
        <v>41022.5</v>
      </c>
      <c r="I29" s="210">
        <v>105477</v>
      </c>
      <c r="J29" s="210">
        <f t="shared" si="8"/>
        <v>13656</v>
      </c>
      <c r="K29" s="211">
        <f t="shared" si="1"/>
        <v>0</v>
      </c>
      <c r="M29" s="186"/>
    </row>
    <row r="30" spans="1:13" s="15" customFormat="1">
      <c r="A30" s="228" t="s">
        <v>80</v>
      </c>
      <c r="B30" s="229" t="s">
        <v>81</v>
      </c>
      <c r="C30" s="210">
        <v>24505492</v>
      </c>
      <c r="D30" s="210">
        <f t="shared" si="7"/>
        <v>3295543</v>
      </c>
      <c r="E30" s="210">
        <v>3379156</v>
      </c>
      <c r="F30" s="210">
        <v>-83613</v>
      </c>
      <c r="G30" s="210">
        <v>27801035</v>
      </c>
      <c r="H30" s="210">
        <v>19719366.740000002</v>
      </c>
      <c r="I30" s="210">
        <v>27801035</v>
      </c>
      <c r="J30" s="210">
        <f t="shared" si="8"/>
        <v>0</v>
      </c>
      <c r="K30" s="211">
        <f t="shared" si="1"/>
        <v>0</v>
      </c>
      <c r="M30" s="186"/>
    </row>
    <row r="31" spans="1:13" s="15" customFormat="1">
      <c r="A31" s="228" t="s">
        <v>136</v>
      </c>
      <c r="B31" s="227" t="s">
        <v>134</v>
      </c>
      <c r="C31" s="210">
        <v>538707</v>
      </c>
      <c r="D31" s="210">
        <f t="shared" si="7"/>
        <v>414037</v>
      </c>
      <c r="E31" s="210">
        <v>451882</v>
      </c>
      <c r="F31" s="210">
        <v>-37845</v>
      </c>
      <c r="G31" s="210">
        <v>952744</v>
      </c>
      <c r="H31" s="210">
        <v>719924.5700000074</v>
      </c>
      <c r="I31" s="210">
        <v>952744</v>
      </c>
      <c r="J31" s="210">
        <f t="shared" si="8"/>
        <v>0</v>
      </c>
      <c r="K31" s="211">
        <f t="shared" si="1"/>
        <v>0</v>
      </c>
      <c r="M31" s="186"/>
    </row>
    <row r="32" spans="1:13" s="15" customFormat="1">
      <c r="A32" s="228" t="s">
        <v>137</v>
      </c>
      <c r="B32" s="227" t="s">
        <v>135</v>
      </c>
      <c r="C32" s="210">
        <v>7017336</v>
      </c>
      <c r="D32" s="210">
        <f t="shared" si="7"/>
        <v>-711681</v>
      </c>
      <c r="E32" s="210">
        <v>-689324</v>
      </c>
      <c r="F32" s="210">
        <v>-22357</v>
      </c>
      <c r="G32" s="210">
        <v>6305655</v>
      </c>
      <c r="H32" s="210">
        <v>5758178.8399999999</v>
      </c>
      <c r="I32" s="210">
        <v>6305655</v>
      </c>
      <c r="J32" s="210">
        <f t="shared" si="8"/>
        <v>0</v>
      </c>
      <c r="K32" s="211">
        <f t="shared" si="1"/>
        <v>0</v>
      </c>
      <c r="M32" s="186"/>
    </row>
    <row r="33" spans="1:14" s="15" customFormat="1">
      <c r="A33" s="228" t="s">
        <v>143</v>
      </c>
      <c r="B33" s="227" t="s">
        <v>142</v>
      </c>
      <c r="C33" s="210">
        <v>358258</v>
      </c>
      <c r="D33" s="210">
        <f t="shared" si="7"/>
        <v>-358258</v>
      </c>
      <c r="E33" s="210">
        <v>0</v>
      </c>
      <c r="F33" s="210">
        <v>-358258</v>
      </c>
      <c r="G33" s="210">
        <v>0</v>
      </c>
      <c r="H33" s="210">
        <v>0</v>
      </c>
      <c r="I33" s="210">
        <v>0</v>
      </c>
      <c r="J33" s="210">
        <f t="shared" si="8"/>
        <v>0</v>
      </c>
      <c r="K33" s="211">
        <f t="shared" si="1"/>
        <v>0</v>
      </c>
      <c r="M33" s="186"/>
    </row>
    <row r="34" spans="1:14" s="15" customFormat="1">
      <c r="A34" s="223" t="s">
        <v>82</v>
      </c>
      <c r="B34" s="227" t="s">
        <v>83</v>
      </c>
      <c r="C34" s="210">
        <v>78833546</v>
      </c>
      <c r="D34" s="210">
        <f t="shared" si="7"/>
        <v>7371510</v>
      </c>
      <c r="E34" s="210">
        <v>7461339</v>
      </c>
      <c r="F34" s="210">
        <v>-89829</v>
      </c>
      <c r="G34" s="210">
        <v>86205056</v>
      </c>
      <c r="H34" s="210">
        <v>70972994.59999986</v>
      </c>
      <c r="I34" s="210">
        <v>86205056</v>
      </c>
      <c r="J34" s="210">
        <f t="shared" si="8"/>
        <v>0</v>
      </c>
      <c r="K34" s="211">
        <f t="shared" si="1"/>
        <v>0</v>
      </c>
      <c r="M34" s="186"/>
    </row>
    <row r="35" spans="1:14" s="15" customFormat="1">
      <c r="A35" s="223" t="s">
        <v>84</v>
      </c>
      <c r="B35" s="224" t="s">
        <v>85</v>
      </c>
      <c r="C35" s="210">
        <v>102857176</v>
      </c>
      <c r="D35" s="210">
        <f t="shared" si="7"/>
        <v>-9785470</v>
      </c>
      <c r="E35" s="210">
        <v>-9268739</v>
      </c>
      <c r="F35" s="210">
        <v>-516731</v>
      </c>
      <c r="G35" s="210">
        <v>93071706</v>
      </c>
      <c r="H35" s="210">
        <v>76091615.839999974</v>
      </c>
      <c r="I35" s="210">
        <v>93071706</v>
      </c>
      <c r="J35" s="210">
        <f t="shared" si="8"/>
        <v>0</v>
      </c>
      <c r="K35" s="211">
        <f t="shared" si="1"/>
        <v>0</v>
      </c>
      <c r="M35" s="186"/>
    </row>
    <row r="36" spans="1:14" s="15" customFormat="1">
      <c r="A36" s="223" t="s">
        <v>154</v>
      </c>
      <c r="B36" s="224" t="s">
        <v>155</v>
      </c>
      <c r="C36" s="210">
        <v>11792089</v>
      </c>
      <c r="D36" s="210">
        <f t="shared" si="7"/>
        <v>2315898</v>
      </c>
      <c r="E36" s="210">
        <v>2216524</v>
      </c>
      <c r="F36" s="210">
        <v>99374</v>
      </c>
      <c r="G36" s="210">
        <v>14107987</v>
      </c>
      <c r="H36" s="210">
        <v>5880618.3999999743</v>
      </c>
      <c r="I36" s="210">
        <v>14107987</v>
      </c>
      <c r="J36" s="210">
        <f t="shared" si="8"/>
        <v>0</v>
      </c>
      <c r="K36" s="211">
        <f t="shared" si="1"/>
        <v>0</v>
      </c>
      <c r="M36" s="186"/>
    </row>
    <row r="37" spans="1:14" s="15" customFormat="1">
      <c r="A37" s="223" t="s">
        <v>86</v>
      </c>
      <c r="B37" s="225" t="s">
        <v>87</v>
      </c>
      <c r="C37" s="210">
        <v>9997482</v>
      </c>
      <c r="D37" s="210">
        <f t="shared" si="7"/>
        <v>2807613</v>
      </c>
      <c r="E37" s="210">
        <v>2804815</v>
      </c>
      <c r="F37" s="210">
        <v>2798</v>
      </c>
      <c r="G37" s="210">
        <v>12805095</v>
      </c>
      <c r="H37" s="210">
        <v>10292084.479999851</v>
      </c>
      <c r="I37" s="210">
        <v>12805095</v>
      </c>
      <c r="J37" s="210">
        <f t="shared" si="8"/>
        <v>0</v>
      </c>
      <c r="K37" s="211">
        <f t="shared" si="1"/>
        <v>0</v>
      </c>
      <c r="M37" s="186"/>
    </row>
    <row r="38" spans="1:14" s="15" customFormat="1">
      <c r="A38" s="223" t="s">
        <v>88</v>
      </c>
      <c r="B38" s="225" t="s">
        <v>89</v>
      </c>
      <c r="C38" s="210">
        <v>119472475</v>
      </c>
      <c r="D38" s="210">
        <f t="shared" si="7"/>
        <v>-1625801</v>
      </c>
      <c r="E38" s="210">
        <v>-1476122</v>
      </c>
      <c r="F38" s="210">
        <v>-149679</v>
      </c>
      <c r="G38" s="210">
        <v>117846674</v>
      </c>
      <c r="H38" s="210">
        <v>107927511.31</v>
      </c>
      <c r="I38" s="210">
        <v>117846674</v>
      </c>
      <c r="J38" s="210">
        <f t="shared" si="8"/>
        <v>0</v>
      </c>
      <c r="K38" s="211">
        <f t="shared" si="1"/>
        <v>0</v>
      </c>
      <c r="M38" s="186"/>
    </row>
    <row r="39" spans="1:14" s="15" customFormat="1">
      <c r="A39" s="223" t="s">
        <v>156</v>
      </c>
      <c r="B39" s="224" t="s">
        <v>157</v>
      </c>
      <c r="C39" s="210">
        <v>35286</v>
      </c>
      <c r="D39" s="210">
        <f t="shared" si="7"/>
        <v>-12683</v>
      </c>
      <c r="E39" s="210">
        <v>-12628</v>
      </c>
      <c r="F39" s="210">
        <v>-55</v>
      </c>
      <c r="G39" s="210">
        <v>22603</v>
      </c>
      <c r="H39" s="210">
        <v>23660.93</v>
      </c>
      <c r="I39" s="210">
        <v>22603</v>
      </c>
      <c r="J39" s="210">
        <f t="shared" si="8"/>
        <v>0</v>
      </c>
      <c r="K39" s="211">
        <f t="shared" si="1"/>
        <v>0</v>
      </c>
      <c r="M39" s="186"/>
    </row>
    <row r="40" spans="1:14" s="15" customFormat="1">
      <c r="A40" s="223" t="s">
        <v>90</v>
      </c>
      <c r="B40" s="225" t="s">
        <v>91</v>
      </c>
      <c r="C40" s="210">
        <v>32201755</v>
      </c>
      <c r="D40" s="210">
        <f t="shared" si="7"/>
        <v>0</v>
      </c>
      <c r="E40" s="210">
        <v>0</v>
      </c>
      <c r="F40" s="210">
        <v>0</v>
      </c>
      <c r="G40" s="210">
        <v>32201755</v>
      </c>
      <c r="H40" s="210">
        <v>24595465.380000025</v>
      </c>
      <c r="I40" s="210">
        <v>32201755</v>
      </c>
      <c r="J40" s="210">
        <f t="shared" si="8"/>
        <v>0</v>
      </c>
      <c r="K40" s="211">
        <f t="shared" si="1"/>
        <v>0</v>
      </c>
      <c r="M40" s="186"/>
    </row>
    <row r="41" spans="1:14" s="15" customFormat="1">
      <c r="A41" s="223" t="s">
        <v>92</v>
      </c>
      <c r="B41" s="230" t="s">
        <v>93</v>
      </c>
      <c r="C41" s="210">
        <v>2037781</v>
      </c>
      <c r="D41" s="210">
        <f t="shared" si="7"/>
        <v>-232568</v>
      </c>
      <c r="E41" s="210">
        <v>-224692</v>
      </c>
      <c r="F41" s="210">
        <v>-7876</v>
      </c>
      <c r="G41" s="210">
        <v>1805213</v>
      </c>
      <c r="H41" s="210">
        <v>1209289.8900000004</v>
      </c>
      <c r="I41" s="210">
        <v>1270657</v>
      </c>
      <c r="J41" s="210">
        <f t="shared" si="8"/>
        <v>534556</v>
      </c>
      <c r="K41" s="211">
        <f t="shared" si="1"/>
        <v>0</v>
      </c>
      <c r="M41" s="186"/>
    </row>
    <row r="42" spans="1:14" s="15" customFormat="1">
      <c r="A42" s="223" t="s">
        <v>94</v>
      </c>
      <c r="B42" s="224" t="s">
        <v>95</v>
      </c>
      <c r="C42" s="210">
        <v>6036551</v>
      </c>
      <c r="D42" s="210">
        <f t="shared" si="7"/>
        <v>3343003</v>
      </c>
      <c r="E42" s="210">
        <v>3343003</v>
      </c>
      <c r="F42" s="210">
        <v>0</v>
      </c>
      <c r="G42" s="210">
        <v>9379554</v>
      </c>
      <c r="H42" s="210">
        <v>5871846.7099999618</v>
      </c>
      <c r="I42" s="210">
        <v>9379306</v>
      </c>
      <c r="J42" s="210">
        <f t="shared" si="8"/>
        <v>248</v>
      </c>
      <c r="K42" s="211">
        <f t="shared" si="1"/>
        <v>0</v>
      </c>
      <c r="M42" s="186"/>
    </row>
    <row r="43" spans="1:14" s="15" customFormat="1">
      <c r="A43" s="223" t="s">
        <v>163</v>
      </c>
      <c r="B43" s="224" t="s">
        <v>164</v>
      </c>
      <c r="C43" s="210">
        <v>0</v>
      </c>
      <c r="D43" s="210">
        <f t="shared" si="7"/>
        <v>0</v>
      </c>
      <c r="E43" s="210">
        <v>0</v>
      </c>
      <c r="F43" s="210">
        <v>0</v>
      </c>
      <c r="G43" s="210">
        <v>0</v>
      </c>
      <c r="H43" s="210">
        <v>0</v>
      </c>
      <c r="I43" s="210">
        <v>0</v>
      </c>
      <c r="J43" s="210">
        <f t="shared" si="8"/>
        <v>0</v>
      </c>
      <c r="K43" s="211">
        <f t="shared" si="1"/>
        <v>0</v>
      </c>
      <c r="M43" s="186"/>
    </row>
    <row r="44" spans="1:14" s="15" customFormat="1">
      <c r="A44" s="223" t="s">
        <v>165</v>
      </c>
      <c r="B44" s="224" t="s">
        <v>166</v>
      </c>
      <c r="C44" s="210">
        <v>0</v>
      </c>
      <c r="D44" s="210">
        <f t="shared" si="7"/>
        <v>0</v>
      </c>
      <c r="E44" s="210">
        <v>0</v>
      </c>
      <c r="F44" s="210">
        <v>0</v>
      </c>
      <c r="G44" s="210">
        <v>0</v>
      </c>
      <c r="H44" s="210">
        <v>0</v>
      </c>
      <c r="I44" s="210">
        <v>0</v>
      </c>
      <c r="J44" s="210">
        <f t="shared" si="8"/>
        <v>0</v>
      </c>
      <c r="K44" s="211">
        <f t="shared" si="1"/>
        <v>0</v>
      </c>
      <c r="M44" s="186"/>
    </row>
    <row r="45" spans="1:14" s="15" customFormat="1">
      <c r="A45" s="223" t="s">
        <v>133</v>
      </c>
      <c r="B45" s="229" t="s">
        <v>147</v>
      </c>
      <c r="C45" s="210">
        <v>11604895</v>
      </c>
      <c r="D45" s="210">
        <f t="shared" si="7"/>
        <v>2215364</v>
      </c>
      <c r="E45" s="210">
        <v>2309999</v>
      </c>
      <c r="F45" s="210">
        <v>-94635</v>
      </c>
      <c r="G45" s="210">
        <v>13820259</v>
      </c>
      <c r="H45" s="210">
        <v>11132697.959999977</v>
      </c>
      <c r="I45" s="210">
        <v>13820259</v>
      </c>
      <c r="J45" s="210">
        <f t="shared" si="8"/>
        <v>0</v>
      </c>
      <c r="K45" s="211">
        <f t="shared" si="1"/>
        <v>0</v>
      </c>
      <c r="M45" s="186"/>
      <c r="N45" s="16"/>
    </row>
    <row r="46" spans="1:14" s="15" customFormat="1">
      <c r="A46" s="223" t="s">
        <v>228</v>
      </c>
      <c r="B46" s="229" t="s">
        <v>226</v>
      </c>
      <c r="C46" s="210">
        <v>0</v>
      </c>
      <c r="D46" s="210">
        <f t="shared" si="7"/>
        <v>19308456</v>
      </c>
      <c r="E46" s="210">
        <v>19308456</v>
      </c>
      <c r="F46" s="210">
        <v>0</v>
      </c>
      <c r="G46" s="210">
        <v>19308456</v>
      </c>
      <c r="H46" s="210">
        <v>6095859.5999999987</v>
      </c>
      <c r="I46" s="210">
        <v>18908456</v>
      </c>
      <c r="J46" s="210">
        <f t="shared" si="8"/>
        <v>400000</v>
      </c>
      <c r="K46" s="211">
        <f t="shared" si="1"/>
        <v>0</v>
      </c>
      <c r="M46" s="186"/>
      <c r="N46" s="16"/>
    </row>
    <row r="47" spans="1:14" s="15" customFormat="1">
      <c r="A47" s="223" t="s">
        <v>229</v>
      </c>
      <c r="B47" s="229" t="s">
        <v>227</v>
      </c>
      <c r="C47" s="210">
        <v>0</v>
      </c>
      <c r="D47" s="210">
        <f t="shared" si="7"/>
        <v>0</v>
      </c>
      <c r="E47" s="210">
        <v>0</v>
      </c>
      <c r="F47" s="210">
        <v>0</v>
      </c>
      <c r="G47" s="210">
        <v>0</v>
      </c>
      <c r="H47" s="210">
        <v>4592690.0299999975</v>
      </c>
      <c r="I47" s="210">
        <v>0</v>
      </c>
      <c r="J47" s="210">
        <f t="shared" si="8"/>
        <v>0</v>
      </c>
      <c r="K47" s="211">
        <f t="shared" si="1"/>
        <v>0</v>
      </c>
      <c r="M47" s="186"/>
      <c r="N47" s="16"/>
    </row>
    <row r="48" spans="1:14" s="15" customFormat="1" ht="16.2">
      <c r="A48" s="213" t="s">
        <v>96</v>
      </c>
      <c r="B48" s="221"/>
      <c r="C48" s="231">
        <f t="shared" ref="C48:I48" si="9">SUM(C21:C47)</f>
        <v>798748603</v>
      </c>
      <c r="D48" s="215">
        <f t="shared" si="9"/>
        <v>27427682</v>
      </c>
      <c r="E48" s="215">
        <v>28686388</v>
      </c>
      <c r="F48" s="215">
        <f t="shared" si="9"/>
        <v>-1258706</v>
      </c>
      <c r="G48" s="215">
        <f t="shared" si="9"/>
        <v>826176285</v>
      </c>
      <c r="H48" s="215">
        <f t="shared" si="9"/>
        <v>680148835.70999885</v>
      </c>
      <c r="I48" s="215">
        <f t="shared" si="9"/>
        <v>821961463</v>
      </c>
      <c r="J48" s="215">
        <f>SUM(J21:J47)</f>
        <v>4214822</v>
      </c>
      <c r="K48" s="211">
        <f t="shared" si="1"/>
        <v>0</v>
      </c>
      <c r="M48" s="186"/>
      <c r="N48" s="16"/>
    </row>
    <row r="49" spans="1:14" s="15" customFormat="1" ht="16.2">
      <c r="A49" s="216"/>
      <c r="B49" s="222"/>
      <c r="C49" s="218"/>
      <c r="D49" s="218"/>
      <c r="E49" s="218"/>
      <c r="F49" s="218"/>
      <c r="G49" s="218"/>
      <c r="H49" s="218"/>
      <c r="I49" s="218"/>
      <c r="J49" s="218"/>
      <c r="K49" s="211">
        <f t="shared" si="1"/>
        <v>0</v>
      </c>
      <c r="M49" s="186"/>
      <c r="N49" s="16"/>
    </row>
    <row r="50" spans="1:14" s="15" customFormat="1">
      <c r="A50" s="232" t="s">
        <v>97</v>
      </c>
      <c r="B50" s="224" t="s">
        <v>98</v>
      </c>
      <c r="C50" s="210">
        <v>6956153</v>
      </c>
      <c r="D50" s="210">
        <f t="shared" ref="D50:D53" si="10">E50+F50</f>
        <v>398431</v>
      </c>
      <c r="E50" s="210">
        <v>413115</v>
      </c>
      <c r="F50" s="210">
        <v>-14684</v>
      </c>
      <c r="G50" s="210">
        <v>7354584</v>
      </c>
      <c r="H50" s="210">
        <v>6827976.2500000084</v>
      </c>
      <c r="I50" s="210">
        <v>7295624</v>
      </c>
      <c r="J50" s="210">
        <f>G50-I50</f>
        <v>58960</v>
      </c>
      <c r="K50" s="211">
        <f t="shared" si="1"/>
        <v>0</v>
      </c>
      <c r="M50" s="186"/>
      <c r="N50" s="16"/>
    </row>
    <row r="51" spans="1:14" s="15" customFormat="1">
      <c r="A51" s="232" t="s">
        <v>99</v>
      </c>
      <c r="B51" s="224" t="s">
        <v>100</v>
      </c>
      <c r="C51" s="210">
        <v>1798542</v>
      </c>
      <c r="D51" s="210">
        <f t="shared" si="10"/>
        <v>-1569530</v>
      </c>
      <c r="E51" s="210">
        <v>-1569530</v>
      </c>
      <c r="F51" s="210">
        <v>0</v>
      </c>
      <c r="G51" s="210">
        <v>229012</v>
      </c>
      <c r="H51" s="210">
        <v>237477.43000000005</v>
      </c>
      <c r="I51" s="210">
        <v>140438</v>
      </c>
      <c r="J51" s="210">
        <f>G51-I51</f>
        <v>88574</v>
      </c>
      <c r="K51" s="211">
        <f t="shared" si="1"/>
        <v>0</v>
      </c>
      <c r="M51" s="186"/>
      <c r="N51" s="16"/>
    </row>
    <row r="52" spans="1:14" s="15" customFormat="1">
      <c r="A52" s="232" t="s">
        <v>101</v>
      </c>
      <c r="B52" s="225" t="s">
        <v>102</v>
      </c>
      <c r="C52" s="210">
        <v>982500</v>
      </c>
      <c r="D52" s="210">
        <f t="shared" si="10"/>
        <v>0</v>
      </c>
      <c r="E52" s="210">
        <v>0</v>
      </c>
      <c r="F52" s="210">
        <v>0</v>
      </c>
      <c r="G52" s="210">
        <v>982500</v>
      </c>
      <c r="H52" s="210">
        <v>0</v>
      </c>
      <c r="I52" s="210">
        <v>982500</v>
      </c>
      <c r="J52" s="210">
        <f>G52-I52</f>
        <v>0</v>
      </c>
      <c r="K52" s="211">
        <f t="shared" si="1"/>
        <v>0</v>
      </c>
      <c r="M52" s="186"/>
      <c r="N52" s="16"/>
    </row>
    <row r="53" spans="1:14" s="15" customFormat="1">
      <c r="A53" s="232" t="s">
        <v>184</v>
      </c>
      <c r="B53" s="224" t="s">
        <v>183</v>
      </c>
      <c r="C53" s="210">
        <v>8792</v>
      </c>
      <c r="D53" s="210">
        <f t="shared" si="10"/>
        <v>0</v>
      </c>
      <c r="E53" s="210">
        <v>0</v>
      </c>
      <c r="F53" s="210">
        <v>0</v>
      </c>
      <c r="G53" s="210">
        <v>8792</v>
      </c>
      <c r="H53" s="210">
        <v>1757.34</v>
      </c>
      <c r="I53" s="210">
        <v>7030</v>
      </c>
      <c r="J53" s="210">
        <f>G53-I53</f>
        <v>1762</v>
      </c>
      <c r="K53" s="211">
        <f t="shared" si="1"/>
        <v>0</v>
      </c>
      <c r="M53" s="186"/>
      <c r="N53" s="16"/>
    </row>
    <row r="54" spans="1:14" s="15" customFormat="1">
      <c r="A54" s="213" t="s">
        <v>250</v>
      </c>
      <c r="B54" s="233"/>
      <c r="C54" s="215">
        <f t="shared" ref="C54:J54" si="11">SUM(C50:C53)</f>
        <v>9745987</v>
      </c>
      <c r="D54" s="215">
        <f t="shared" si="11"/>
        <v>-1171099</v>
      </c>
      <c r="E54" s="215">
        <v>-1156415</v>
      </c>
      <c r="F54" s="215">
        <f t="shared" si="11"/>
        <v>-14684</v>
      </c>
      <c r="G54" s="215">
        <f t="shared" ref="G54" si="12">SUM(G50:G53)</f>
        <v>8574888</v>
      </c>
      <c r="H54" s="215">
        <f t="shared" si="11"/>
        <v>7067211.0200000079</v>
      </c>
      <c r="I54" s="215">
        <f t="shared" si="11"/>
        <v>8425592</v>
      </c>
      <c r="J54" s="215">
        <f t="shared" si="11"/>
        <v>149296</v>
      </c>
      <c r="K54" s="211">
        <f t="shared" si="1"/>
        <v>0</v>
      </c>
      <c r="M54" s="186"/>
      <c r="N54" s="16"/>
    </row>
    <row r="55" spans="1:14" s="15" customFormat="1">
      <c r="A55" s="234"/>
      <c r="B55" s="235"/>
      <c r="C55" s="218"/>
      <c r="D55" s="218"/>
      <c r="E55" s="218"/>
      <c r="F55" s="218"/>
      <c r="G55" s="218"/>
      <c r="H55" s="218"/>
      <c r="I55" s="218"/>
      <c r="J55" s="218"/>
      <c r="K55" s="211">
        <f t="shared" si="1"/>
        <v>0</v>
      </c>
      <c r="M55" s="186"/>
      <c r="N55" s="16"/>
    </row>
    <row r="56" spans="1:14" s="15" customFormat="1" ht="16.2" thickBot="1">
      <c r="A56" s="236" t="s">
        <v>103</v>
      </c>
      <c r="B56" s="237"/>
      <c r="C56" s="238">
        <f>SUM(C54,C48,C19)</f>
        <v>1740549443</v>
      </c>
      <c r="D56" s="239">
        <f>SUM(D54,D48,D19)</f>
        <v>241378489</v>
      </c>
      <c r="E56" s="239">
        <v>242651879</v>
      </c>
      <c r="F56" s="239">
        <f>SUM(F54,F48,F19)</f>
        <v>-1273390</v>
      </c>
      <c r="G56" s="239">
        <f>SUM(G54,G48,G19)</f>
        <v>1981927932</v>
      </c>
      <c r="H56" s="239">
        <f>SUM(H54,H48,H19)</f>
        <v>1604689046.7599502</v>
      </c>
      <c r="I56" s="239">
        <f>SUM(I54,I48,I19)</f>
        <v>1952402451</v>
      </c>
      <c r="J56" s="239">
        <f>SUM(J54,J48,J19)</f>
        <v>29525481</v>
      </c>
      <c r="K56" s="211">
        <f t="shared" si="1"/>
        <v>0</v>
      </c>
      <c r="M56" s="186"/>
      <c r="N56" s="16"/>
    </row>
    <row r="57" spans="1:14" s="15" customFormat="1" ht="14.4" thickTop="1">
      <c r="B57" s="41"/>
      <c r="C57" s="42"/>
      <c r="D57" s="17"/>
      <c r="E57" s="17"/>
      <c r="F57" s="17"/>
      <c r="G57" s="17"/>
      <c r="H57" s="17"/>
      <c r="I57" s="17"/>
      <c r="J57" s="17"/>
      <c r="M57" s="185"/>
    </row>
    <row r="58" spans="1:14" s="15" customFormat="1" ht="13.8">
      <c r="B58" s="43"/>
      <c r="C58" s="42"/>
      <c r="D58" s="17"/>
      <c r="E58" s="17"/>
      <c r="F58" s="17"/>
      <c r="G58" s="17"/>
      <c r="H58" s="17"/>
      <c r="I58" s="17"/>
      <c r="J58" s="17"/>
      <c r="M58" s="185"/>
    </row>
    <row r="59" spans="1:14" s="15" customFormat="1" ht="13.8">
      <c r="B59" s="43"/>
      <c r="C59" s="42"/>
      <c r="D59" s="17"/>
      <c r="E59" s="17"/>
      <c r="F59" s="17"/>
      <c r="G59" s="17"/>
      <c r="H59" s="17"/>
      <c r="I59" s="17"/>
      <c r="J59" s="17"/>
      <c r="M59" s="185"/>
    </row>
    <row r="60" spans="1:14" s="15" customFormat="1" ht="13.8">
      <c r="B60" s="43"/>
      <c r="C60" s="42"/>
      <c r="D60" s="17"/>
      <c r="E60" s="17"/>
      <c r="F60" s="17"/>
      <c r="G60" s="17"/>
      <c r="H60" s="17"/>
      <c r="I60" s="17"/>
      <c r="J60" s="17"/>
      <c r="M60" s="185"/>
    </row>
    <row r="61" spans="1:14" s="15" customFormat="1" ht="13.8">
      <c r="B61" s="43"/>
      <c r="C61" s="42"/>
      <c r="D61" s="17"/>
      <c r="E61" s="17"/>
      <c r="F61" s="17"/>
      <c r="G61" s="17"/>
      <c r="H61" s="17"/>
      <c r="I61" s="17"/>
      <c r="J61" s="17"/>
      <c r="M61" s="185"/>
    </row>
    <row r="62" spans="1:14" s="15" customFormat="1" ht="13.8">
      <c r="B62" s="43"/>
      <c r="C62" s="42"/>
      <c r="D62" s="17"/>
      <c r="E62" s="17"/>
      <c r="F62" s="17"/>
      <c r="G62" s="17"/>
      <c r="H62" s="17"/>
      <c r="I62" s="17"/>
      <c r="J62" s="17"/>
      <c r="M62" s="185"/>
    </row>
    <row r="63" spans="1:14" s="15" customFormat="1" ht="13.8">
      <c r="B63" s="43"/>
      <c r="C63" s="42"/>
      <c r="D63" s="17"/>
      <c r="E63" s="17"/>
      <c r="F63" s="17"/>
      <c r="G63" s="17"/>
      <c r="H63" s="17"/>
      <c r="I63" s="17"/>
      <c r="J63" s="17"/>
      <c r="M63" s="185"/>
    </row>
    <row r="64" spans="1:14" s="15" customFormat="1" ht="13.8">
      <c r="B64" s="43"/>
      <c r="C64" s="42"/>
      <c r="D64" s="17"/>
      <c r="E64" s="17"/>
      <c r="F64" s="17"/>
      <c r="G64" s="17"/>
      <c r="H64" s="17"/>
      <c r="I64" s="17"/>
      <c r="J64" s="17"/>
      <c r="M64" s="185"/>
    </row>
    <row r="65" spans="2:13" s="15" customFormat="1" ht="13.8">
      <c r="B65" s="43"/>
      <c r="C65" s="42"/>
      <c r="D65" s="17"/>
      <c r="E65" s="17"/>
      <c r="F65" s="17"/>
      <c r="G65" s="17"/>
      <c r="H65" s="17"/>
      <c r="I65" s="17"/>
      <c r="J65" s="17"/>
      <c r="M65" s="185"/>
    </row>
    <row r="66" spans="2:13" s="15" customFormat="1" ht="13.8">
      <c r="B66" s="43"/>
      <c r="C66" s="42"/>
      <c r="D66" s="17"/>
      <c r="E66" s="17"/>
      <c r="F66" s="17"/>
      <c r="G66" s="17"/>
      <c r="H66" s="17"/>
      <c r="I66" s="17"/>
      <c r="J66" s="17"/>
      <c r="M66" s="185"/>
    </row>
    <row r="67" spans="2:13" s="15" customFormat="1" ht="13.8">
      <c r="B67" s="43"/>
      <c r="C67" s="42"/>
      <c r="D67" s="17"/>
      <c r="E67" s="17"/>
      <c r="F67" s="17"/>
      <c r="G67" s="17"/>
      <c r="H67" s="17"/>
      <c r="I67" s="17"/>
      <c r="J67" s="17"/>
      <c r="M67" s="185"/>
    </row>
    <row r="68" spans="2:13" s="15" customFormat="1" ht="13.8">
      <c r="B68" s="43"/>
      <c r="C68" s="42"/>
      <c r="D68" s="17"/>
      <c r="E68" s="17"/>
      <c r="F68" s="17"/>
      <c r="G68" s="17"/>
      <c r="H68" s="17"/>
      <c r="I68" s="17"/>
      <c r="J68" s="17"/>
      <c r="M68" s="185"/>
    </row>
    <row r="69" spans="2:13" s="15" customFormat="1" ht="13.8">
      <c r="B69" s="43"/>
      <c r="C69" s="42"/>
      <c r="D69" s="17"/>
      <c r="E69" s="17"/>
      <c r="F69" s="17"/>
      <c r="G69" s="17"/>
      <c r="H69" s="17"/>
      <c r="I69" s="17"/>
      <c r="J69" s="17"/>
      <c r="M69" s="185"/>
    </row>
    <row r="70" spans="2:13" s="15" customFormat="1" ht="13.8">
      <c r="B70" s="43"/>
      <c r="C70" s="42"/>
      <c r="D70" s="17"/>
      <c r="E70" s="17"/>
      <c r="F70" s="17"/>
      <c r="G70" s="17"/>
      <c r="H70" s="17"/>
      <c r="I70" s="17"/>
      <c r="J70" s="17"/>
      <c r="M70" s="185"/>
    </row>
    <row r="71" spans="2:13" s="15" customFormat="1" ht="13.8">
      <c r="B71" s="43"/>
      <c r="C71" s="42"/>
      <c r="D71" s="17"/>
      <c r="E71" s="17"/>
      <c r="F71" s="17"/>
      <c r="G71" s="17"/>
      <c r="H71" s="17"/>
      <c r="I71" s="17"/>
      <c r="J71" s="17"/>
      <c r="M71" s="185"/>
    </row>
    <row r="72" spans="2:13" s="15" customFormat="1" ht="13.8">
      <c r="B72" s="43"/>
      <c r="C72" s="42"/>
      <c r="D72" s="17"/>
      <c r="E72" s="17"/>
      <c r="F72" s="17"/>
      <c r="G72" s="17"/>
      <c r="H72" s="17"/>
      <c r="I72" s="17"/>
      <c r="J72" s="17"/>
      <c r="M72" s="185"/>
    </row>
    <row r="73" spans="2:13" s="15" customFormat="1" ht="13.8">
      <c r="B73" s="43"/>
      <c r="C73" s="42"/>
      <c r="D73" s="17"/>
      <c r="E73" s="17"/>
      <c r="F73" s="17"/>
      <c r="G73" s="17"/>
      <c r="H73" s="17"/>
      <c r="I73" s="17"/>
      <c r="J73" s="17"/>
      <c r="M73" s="185"/>
    </row>
    <row r="74" spans="2:13" s="15" customFormat="1" ht="13.8">
      <c r="B74" s="43"/>
      <c r="C74" s="42"/>
      <c r="D74" s="17"/>
      <c r="E74" s="17"/>
      <c r="F74" s="17"/>
      <c r="G74" s="17"/>
      <c r="H74" s="17"/>
      <c r="I74" s="17"/>
      <c r="J74" s="17"/>
      <c r="M74" s="185"/>
    </row>
    <row r="75" spans="2:13" s="15" customFormat="1" ht="13.8">
      <c r="B75" s="43"/>
      <c r="C75" s="42"/>
      <c r="D75" s="17"/>
      <c r="E75" s="17"/>
      <c r="F75" s="17"/>
      <c r="G75" s="17"/>
      <c r="H75" s="17"/>
      <c r="I75" s="17"/>
      <c r="J75" s="17"/>
      <c r="M75" s="185"/>
    </row>
    <row r="76" spans="2:13" s="15" customFormat="1" ht="13.8">
      <c r="B76" s="43"/>
      <c r="C76" s="42"/>
      <c r="D76" s="17"/>
      <c r="E76" s="17"/>
      <c r="F76" s="17"/>
      <c r="G76" s="17"/>
      <c r="H76" s="17"/>
      <c r="I76" s="17"/>
      <c r="J76" s="17"/>
      <c r="M76" s="185"/>
    </row>
    <row r="77" spans="2:13" s="15" customFormat="1" ht="13.8">
      <c r="B77" s="43"/>
      <c r="C77" s="42"/>
      <c r="D77" s="17"/>
      <c r="E77" s="17"/>
      <c r="F77" s="17"/>
      <c r="G77" s="17"/>
      <c r="H77" s="17"/>
      <c r="I77" s="17"/>
      <c r="J77" s="17"/>
      <c r="M77" s="185"/>
    </row>
    <row r="78" spans="2:13" s="15" customFormat="1" ht="13.8">
      <c r="B78" s="43"/>
      <c r="C78" s="42"/>
      <c r="D78" s="17"/>
      <c r="E78" s="17"/>
      <c r="F78" s="17"/>
      <c r="G78" s="17"/>
      <c r="H78" s="17"/>
      <c r="I78" s="17"/>
      <c r="J78" s="17"/>
      <c r="M78" s="185"/>
    </row>
    <row r="79" spans="2:13" s="15" customFormat="1" ht="13.8">
      <c r="B79" s="43"/>
      <c r="C79" s="42"/>
      <c r="D79" s="17"/>
      <c r="E79" s="17"/>
      <c r="F79" s="17"/>
      <c r="G79" s="17"/>
      <c r="H79" s="17"/>
      <c r="I79" s="17"/>
      <c r="J79" s="17"/>
      <c r="M79" s="185"/>
    </row>
    <row r="80" spans="2:13" s="15" customFormat="1" ht="13.8">
      <c r="B80" s="43"/>
      <c r="C80" s="42"/>
      <c r="D80" s="17"/>
      <c r="E80" s="17"/>
      <c r="F80" s="17"/>
      <c r="G80" s="17"/>
      <c r="H80" s="17"/>
      <c r="I80" s="17"/>
      <c r="J80" s="17"/>
      <c r="M80" s="185"/>
    </row>
    <row r="81" spans="2:13" s="15" customFormat="1" ht="13.8">
      <c r="B81" s="43"/>
      <c r="C81" s="42"/>
      <c r="D81" s="17"/>
      <c r="E81" s="17"/>
      <c r="F81" s="17"/>
      <c r="G81" s="17"/>
      <c r="H81" s="17"/>
      <c r="I81" s="17"/>
      <c r="J81" s="17"/>
      <c r="M81" s="185"/>
    </row>
    <row r="82" spans="2:13" s="15" customFormat="1" ht="13.8">
      <c r="B82" s="43"/>
      <c r="C82" s="42"/>
      <c r="D82" s="17"/>
      <c r="E82" s="17"/>
      <c r="F82" s="17"/>
      <c r="G82" s="17"/>
      <c r="H82" s="17"/>
      <c r="I82" s="17"/>
      <c r="J82" s="17"/>
      <c r="M82" s="185"/>
    </row>
    <row r="83" spans="2:13" s="15" customFormat="1" ht="13.8">
      <c r="B83" s="43"/>
      <c r="C83" s="42"/>
      <c r="D83" s="17"/>
      <c r="E83" s="17"/>
      <c r="F83" s="17"/>
      <c r="G83" s="17"/>
      <c r="H83" s="17"/>
      <c r="I83" s="17"/>
      <c r="J83" s="17"/>
      <c r="M83" s="185"/>
    </row>
    <row r="84" spans="2:13" s="15" customFormat="1" ht="13.8">
      <c r="B84" s="43"/>
      <c r="C84" s="42"/>
      <c r="D84" s="17"/>
      <c r="E84" s="17"/>
      <c r="F84" s="17"/>
      <c r="G84" s="17"/>
      <c r="H84" s="17"/>
      <c r="I84" s="17"/>
      <c r="J84" s="17"/>
      <c r="M84" s="185"/>
    </row>
    <row r="85" spans="2:13" s="15" customFormat="1" ht="13.8">
      <c r="B85" s="43"/>
      <c r="C85" s="42"/>
      <c r="D85" s="17"/>
      <c r="E85" s="17"/>
      <c r="F85" s="17"/>
      <c r="G85" s="17"/>
      <c r="H85" s="17"/>
      <c r="I85" s="17"/>
      <c r="J85" s="17"/>
      <c r="M85" s="185"/>
    </row>
    <row r="86" spans="2:13" s="15" customFormat="1" ht="13.8">
      <c r="B86" s="43"/>
      <c r="C86" s="42"/>
      <c r="D86" s="17"/>
      <c r="E86" s="17"/>
      <c r="F86" s="17"/>
      <c r="G86" s="17"/>
      <c r="H86" s="17"/>
      <c r="I86" s="17"/>
      <c r="J86" s="17"/>
      <c r="M86" s="185"/>
    </row>
    <row r="87" spans="2:13" s="15" customFormat="1" ht="13.8">
      <c r="B87" s="43"/>
      <c r="C87" s="42"/>
      <c r="D87" s="17"/>
      <c r="E87" s="17"/>
      <c r="F87" s="17"/>
      <c r="G87" s="17"/>
      <c r="H87" s="17"/>
      <c r="I87" s="17"/>
      <c r="J87" s="17"/>
      <c r="M87" s="185"/>
    </row>
    <row r="88" spans="2:13" s="15" customFormat="1" ht="13.8">
      <c r="B88" s="43"/>
      <c r="C88" s="42"/>
      <c r="D88" s="17"/>
      <c r="E88" s="17"/>
      <c r="F88" s="17"/>
      <c r="G88" s="17"/>
      <c r="H88" s="17"/>
      <c r="I88" s="17"/>
      <c r="J88" s="17"/>
      <c r="M88" s="185"/>
    </row>
    <row r="89" spans="2:13" s="15" customFormat="1" ht="13.8">
      <c r="B89" s="43"/>
      <c r="C89" s="42"/>
      <c r="D89" s="17"/>
      <c r="E89" s="17"/>
      <c r="F89" s="17"/>
      <c r="G89" s="17"/>
      <c r="H89" s="17"/>
      <c r="I89" s="17"/>
      <c r="J89" s="17"/>
      <c r="M89" s="185"/>
    </row>
  </sheetData>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0"/>
  <sheetViews>
    <sheetView topLeftCell="A28" zoomScale="80" zoomScaleNormal="80" workbookViewId="0">
      <selection activeCell="N44" sqref="N4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1.33203125" style="5" bestFit="1" customWidth="1"/>
    <col min="16" max="16384" width="9.109375" style="5"/>
  </cols>
  <sheetData>
    <row r="1" spans="1:16" s="4" customFormat="1" ht="16.2">
      <c r="A1" s="240" t="s">
        <v>3</v>
      </c>
      <c r="B1" s="240"/>
      <c r="C1" s="240"/>
      <c r="D1" s="240"/>
      <c r="E1" s="240"/>
      <c r="F1" s="240"/>
      <c r="G1" s="240"/>
      <c r="H1" s="240"/>
      <c r="I1" s="240"/>
      <c r="J1" s="240"/>
      <c r="K1" s="240"/>
      <c r="L1" s="240"/>
      <c r="M1" s="240"/>
      <c r="N1" s="240"/>
    </row>
    <row r="2" spans="1:16" s="1" customFormat="1" ht="15.6">
      <c r="A2" s="241" t="s">
        <v>261</v>
      </c>
      <c r="B2" s="241"/>
      <c r="C2" s="241"/>
      <c r="D2" s="241"/>
      <c r="E2" s="241"/>
      <c r="F2" s="241"/>
      <c r="G2" s="241"/>
      <c r="H2" s="241"/>
      <c r="I2" s="241"/>
      <c r="J2" s="241"/>
      <c r="K2" s="241"/>
      <c r="L2" s="241"/>
      <c r="M2" s="241"/>
      <c r="N2" s="241"/>
    </row>
    <row r="3" spans="1:16" s="1" customFormat="1" ht="15.6">
      <c r="A3" s="188" t="s">
        <v>424</v>
      </c>
      <c r="B3" s="188"/>
      <c r="C3" s="188"/>
      <c r="D3" s="188"/>
      <c r="E3" s="188"/>
      <c r="F3" s="188"/>
      <c r="G3" s="188"/>
      <c r="H3" s="188"/>
      <c r="I3" s="188"/>
      <c r="J3" s="188"/>
      <c r="K3" s="188"/>
      <c r="L3" s="188"/>
      <c r="M3" s="188"/>
      <c r="N3" s="188"/>
    </row>
    <row r="4" spans="1:16" ht="15.6">
      <c r="A4" s="188"/>
      <c r="B4" s="188"/>
      <c r="C4" s="188"/>
      <c r="D4" s="188"/>
      <c r="E4" s="188"/>
      <c r="F4" s="188"/>
      <c r="G4" s="188"/>
      <c r="H4" s="188"/>
      <c r="I4" s="188"/>
      <c r="J4" s="188"/>
      <c r="K4" s="188"/>
      <c r="L4" s="188"/>
      <c r="M4" s="188"/>
      <c r="N4" s="188"/>
    </row>
    <row r="5" spans="1:16" s="15" customFormat="1" ht="15.6">
      <c r="A5" s="533"/>
      <c r="B5" s="534"/>
      <c r="C5" s="243"/>
      <c r="D5" s="243"/>
      <c r="E5" s="535" t="s">
        <v>6</v>
      </c>
      <c r="F5" s="536"/>
      <c r="G5" s="536"/>
      <c r="H5" s="536"/>
      <c r="I5" s="536"/>
      <c r="J5" s="536"/>
      <c r="K5" s="536"/>
      <c r="L5" s="536"/>
      <c r="M5" s="244"/>
      <c r="N5" s="245"/>
    </row>
    <row r="6" spans="1:16" s="15" customFormat="1" ht="32.4">
      <c r="A6" s="246"/>
      <c r="B6" s="247"/>
      <c r="C6" s="248" t="s">
        <v>4</v>
      </c>
      <c r="D6" s="248" t="s">
        <v>5</v>
      </c>
      <c r="E6" s="249" t="s">
        <v>354</v>
      </c>
      <c r="F6" s="249" t="s">
        <v>355</v>
      </c>
      <c r="G6" s="250" t="s">
        <v>246</v>
      </c>
      <c r="H6" s="249" t="s">
        <v>356</v>
      </c>
      <c r="I6" s="249" t="s">
        <v>357</v>
      </c>
      <c r="J6" s="249" t="s">
        <v>247</v>
      </c>
      <c r="K6" s="250" t="s">
        <v>248</v>
      </c>
      <c r="L6" s="251" t="s">
        <v>160</v>
      </c>
      <c r="M6" s="252" t="s">
        <v>161</v>
      </c>
      <c r="N6" s="253" t="s">
        <v>162</v>
      </c>
    </row>
    <row r="7" spans="1:16" s="15" customFormat="1" ht="9" customHeight="1">
      <c r="A7" s="254"/>
      <c r="B7" s="254"/>
      <c r="C7" s="255"/>
      <c r="D7" s="255"/>
      <c r="E7" s="256"/>
      <c r="F7" s="256"/>
      <c r="G7" s="257"/>
      <c r="H7" s="256"/>
      <c r="I7" s="256"/>
      <c r="J7" s="256"/>
      <c r="K7" s="257"/>
      <c r="L7" s="257"/>
      <c r="M7" s="257"/>
      <c r="N7" s="257"/>
    </row>
    <row r="8" spans="1:16" s="71" customFormat="1" ht="18" customHeight="1">
      <c r="A8" s="158" t="s">
        <v>24</v>
      </c>
      <c r="B8" s="158" t="s">
        <v>7</v>
      </c>
      <c r="C8" s="258">
        <v>8665020</v>
      </c>
      <c r="D8" s="258">
        <v>0</v>
      </c>
      <c r="E8" s="258">
        <v>10591451</v>
      </c>
      <c r="F8" s="258">
        <v>51546</v>
      </c>
      <c r="G8" s="258">
        <v>30698</v>
      </c>
      <c r="H8" s="258">
        <v>2273531</v>
      </c>
      <c r="I8" s="258">
        <v>161124</v>
      </c>
      <c r="J8" s="258">
        <v>0</v>
      </c>
      <c r="K8" s="258">
        <v>0</v>
      </c>
      <c r="L8" s="258">
        <f>SUM(E8:K8)</f>
        <v>13108350</v>
      </c>
      <c r="M8" s="258">
        <v>0</v>
      </c>
      <c r="N8" s="258">
        <f>SUM(C8,D8,L8,M8)</f>
        <v>21773370</v>
      </c>
      <c r="P8" s="483"/>
    </row>
    <row r="9" spans="1:16" s="71" customFormat="1" ht="18" customHeight="1">
      <c r="A9" s="531" t="s">
        <v>345</v>
      </c>
      <c r="B9" s="532"/>
      <c r="C9" s="259">
        <f>C8</f>
        <v>8665020</v>
      </c>
      <c r="D9" s="259">
        <f t="shared" ref="D9:N9" si="0">D8</f>
        <v>0</v>
      </c>
      <c r="E9" s="259">
        <f t="shared" si="0"/>
        <v>10591451</v>
      </c>
      <c r="F9" s="259">
        <f t="shared" si="0"/>
        <v>51546</v>
      </c>
      <c r="G9" s="259">
        <f t="shared" si="0"/>
        <v>30698</v>
      </c>
      <c r="H9" s="259">
        <f t="shared" si="0"/>
        <v>2273531</v>
      </c>
      <c r="I9" s="259">
        <f>I8</f>
        <v>161124</v>
      </c>
      <c r="J9" s="259">
        <f t="shared" si="0"/>
        <v>0</v>
      </c>
      <c r="K9" s="259">
        <f t="shared" si="0"/>
        <v>0</v>
      </c>
      <c r="L9" s="259">
        <f t="shared" si="0"/>
        <v>13108350</v>
      </c>
      <c r="M9" s="259">
        <f t="shared" si="0"/>
        <v>0</v>
      </c>
      <c r="N9" s="259">
        <f t="shared" si="0"/>
        <v>21773370</v>
      </c>
    </row>
    <row r="10" spans="1:16" s="71" customFormat="1" ht="18" customHeight="1">
      <c r="A10" s="158" t="s">
        <v>25</v>
      </c>
      <c r="B10" s="158" t="s">
        <v>8</v>
      </c>
      <c r="C10" s="258">
        <v>443472065</v>
      </c>
      <c r="D10" s="258">
        <v>0</v>
      </c>
      <c r="E10" s="258">
        <v>115651816</v>
      </c>
      <c r="F10" s="258">
        <v>0</v>
      </c>
      <c r="G10" s="258">
        <v>69685506</v>
      </c>
      <c r="H10" s="258">
        <v>0</v>
      </c>
      <c r="I10" s="258">
        <v>6915396</v>
      </c>
      <c r="J10" s="258">
        <v>0</v>
      </c>
      <c r="K10" s="258">
        <v>36475943</v>
      </c>
      <c r="L10" s="258">
        <f t="shared" ref="L10:L21" si="1">SUM(E10:K10)</f>
        <v>228728661</v>
      </c>
      <c r="M10" s="258">
        <v>6513168</v>
      </c>
      <c r="N10" s="258">
        <f t="shared" ref="N10:N21" si="2">SUM(C10,D10,L10,M10)</f>
        <v>678713894</v>
      </c>
      <c r="P10" s="483"/>
    </row>
    <row r="11" spans="1:16" s="71" customFormat="1" ht="18" customHeight="1">
      <c r="A11" s="158" t="s">
        <v>26</v>
      </c>
      <c r="B11" s="158" t="s">
        <v>9</v>
      </c>
      <c r="C11" s="258">
        <v>17612564</v>
      </c>
      <c r="D11" s="258">
        <v>0</v>
      </c>
      <c r="E11" s="258">
        <v>13952608</v>
      </c>
      <c r="F11" s="258">
        <v>0</v>
      </c>
      <c r="G11" s="258">
        <v>9119910</v>
      </c>
      <c r="H11" s="258">
        <v>453114</v>
      </c>
      <c r="I11" s="258">
        <v>245970</v>
      </c>
      <c r="J11" s="258">
        <v>0</v>
      </c>
      <c r="K11" s="258">
        <v>6170762</v>
      </c>
      <c r="L11" s="258">
        <f t="shared" si="1"/>
        <v>29942364</v>
      </c>
      <c r="M11" s="258">
        <v>260395</v>
      </c>
      <c r="N11" s="258">
        <f t="shared" si="2"/>
        <v>47815323</v>
      </c>
      <c r="P11" s="483"/>
    </row>
    <row r="12" spans="1:16" s="71" customFormat="1" ht="18" customHeight="1">
      <c r="A12" s="158" t="s">
        <v>27</v>
      </c>
      <c r="B12" s="158" t="s">
        <v>189</v>
      </c>
      <c r="C12" s="258">
        <v>58632890</v>
      </c>
      <c r="D12" s="258">
        <v>0</v>
      </c>
      <c r="E12" s="258">
        <v>0</v>
      </c>
      <c r="F12" s="258">
        <v>10379528</v>
      </c>
      <c r="G12" s="258">
        <v>5137971</v>
      </c>
      <c r="H12" s="258">
        <v>0</v>
      </c>
      <c r="I12" s="258">
        <v>0</v>
      </c>
      <c r="J12" s="258">
        <v>0</v>
      </c>
      <c r="K12" s="258">
        <v>0</v>
      </c>
      <c r="L12" s="258">
        <f t="shared" si="1"/>
        <v>15517499</v>
      </c>
      <c r="M12" s="258">
        <v>0</v>
      </c>
      <c r="N12" s="258">
        <f t="shared" si="2"/>
        <v>74150389</v>
      </c>
      <c r="P12" s="483"/>
    </row>
    <row r="13" spans="1:16" s="71" customFormat="1" ht="18" customHeight="1">
      <c r="A13" s="158" t="s">
        <v>28</v>
      </c>
      <c r="B13" s="158" t="s">
        <v>190</v>
      </c>
      <c r="C13" s="258">
        <v>7740589</v>
      </c>
      <c r="D13" s="258">
        <v>0</v>
      </c>
      <c r="E13" s="258">
        <v>0</v>
      </c>
      <c r="F13" s="258">
        <v>0</v>
      </c>
      <c r="G13" s="258">
        <v>0</v>
      </c>
      <c r="H13" s="258">
        <v>0</v>
      </c>
      <c r="I13" s="258">
        <v>0</v>
      </c>
      <c r="J13" s="258">
        <v>0</v>
      </c>
      <c r="K13" s="258">
        <v>5224723</v>
      </c>
      <c r="L13" s="258">
        <f t="shared" si="1"/>
        <v>5224723</v>
      </c>
      <c r="M13" s="258">
        <v>0</v>
      </c>
      <c r="N13" s="258">
        <f t="shared" si="2"/>
        <v>12965312</v>
      </c>
      <c r="P13" s="483"/>
    </row>
    <row r="14" spans="1:16" s="71" customFormat="1" ht="18" customHeight="1">
      <c r="A14" s="158" t="s">
        <v>29</v>
      </c>
      <c r="B14" s="158" t="s">
        <v>191</v>
      </c>
      <c r="C14" s="258">
        <v>1972257</v>
      </c>
      <c r="D14" s="258">
        <v>0</v>
      </c>
      <c r="E14" s="258">
        <v>0</v>
      </c>
      <c r="F14" s="258">
        <v>0</v>
      </c>
      <c r="G14" s="258">
        <v>0</v>
      </c>
      <c r="H14" s="258">
        <v>0</v>
      </c>
      <c r="I14" s="258">
        <v>0</v>
      </c>
      <c r="J14" s="258">
        <v>0</v>
      </c>
      <c r="K14" s="258">
        <v>2515964</v>
      </c>
      <c r="L14" s="258">
        <f t="shared" si="1"/>
        <v>2515964</v>
      </c>
      <c r="M14" s="258">
        <v>0</v>
      </c>
      <c r="N14" s="258">
        <f t="shared" si="2"/>
        <v>4488221</v>
      </c>
      <c r="P14" s="483"/>
    </row>
    <row r="15" spans="1:16" s="71" customFormat="1" ht="18" customHeight="1">
      <c r="A15" s="158" t="s">
        <v>114</v>
      </c>
      <c r="B15" s="158" t="s">
        <v>11</v>
      </c>
      <c r="C15" s="258">
        <v>747738</v>
      </c>
      <c r="D15" s="258">
        <v>0</v>
      </c>
      <c r="E15" s="258">
        <v>0</v>
      </c>
      <c r="F15" s="258">
        <v>0</v>
      </c>
      <c r="G15" s="258">
        <v>0</v>
      </c>
      <c r="H15" s="258">
        <v>0</v>
      </c>
      <c r="I15" s="258">
        <v>0</v>
      </c>
      <c r="J15" s="258">
        <v>0</v>
      </c>
      <c r="K15" s="258">
        <v>7863690</v>
      </c>
      <c r="L15" s="258">
        <f t="shared" si="1"/>
        <v>7863690</v>
      </c>
      <c r="M15" s="258">
        <v>5000</v>
      </c>
      <c r="N15" s="258">
        <f t="shared" si="2"/>
        <v>8616428</v>
      </c>
      <c r="P15" s="483"/>
    </row>
    <row r="16" spans="1:16" s="83" customFormat="1" ht="18" customHeight="1">
      <c r="A16" s="158" t="s">
        <v>115</v>
      </c>
      <c r="B16" s="158" t="s">
        <v>192</v>
      </c>
      <c r="C16" s="258">
        <v>13713934</v>
      </c>
      <c r="D16" s="258">
        <v>0</v>
      </c>
      <c r="E16" s="258">
        <v>140233</v>
      </c>
      <c r="F16" s="258">
        <v>0</v>
      </c>
      <c r="G16" s="258">
        <v>0</v>
      </c>
      <c r="H16" s="258">
        <v>0</v>
      </c>
      <c r="I16" s="258">
        <v>0</v>
      </c>
      <c r="J16" s="258">
        <v>0</v>
      </c>
      <c r="K16" s="258">
        <v>401050</v>
      </c>
      <c r="L16" s="258">
        <f t="shared" si="1"/>
        <v>541283</v>
      </c>
      <c r="M16" s="258">
        <v>0</v>
      </c>
      <c r="N16" s="258">
        <f t="shared" si="2"/>
        <v>14255217</v>
      </c>
      <c r="O16" s="71"/>
      <c r="P16" s="483"/>
    </row>
    <row r="17" spans="1:16" s="83" customFormat="1" ht="18" customHeight="1">
      <c r="A17" s="158" t="s">
        <v>116</v>
      </c>
      <c r="B17" s="158" t="s">
        <v>193</v>
      </c>
      <c r="C17" s="258">
        <v>22262194</v>
      </c>
      <c r="D17" s="258">
        <v>0</v>
      </c>
      <c r="E17" s="258">
        <v>2053865</v>
      </c>
      <c r="F17" s="258">
        <v>13990</v>
      </c>
      <c r="G17" s="258">
        <v>275787</v>
      </c>
      <c r="H17" s="258">
        <v>0</v>
      </c>
      <c r="I17" s="258">
        <v>0</v>
      </c>
      <c r="J17" s="258">
        <v>0</v>
      </c>
      <c r="K17" s="258">
        <v>17750225</v>
      </c>
      <c r="L17" s="258">
        <f>SUM(E17:K17)</f>
        <v>20093867</v>
      </c>
      <c r="M17" s="258">
        <v>0</v>
      </c>
      <c r="N17" s="258">
        <f t="shared" si="2"/>
        <v>42356061</v>
      </c>
      <c r="O17" s="71"/>
      <c r="P17" s="483"/>
    </row>
    <row r="18" spans="1:16" s="83" customFormat="1" ht="18" customHeight="1">
      <c r="A18" s="158" t="s">
        <v>117</v>
      </c>
      <c r="B18" s="158" t="s">
        <v>194</v>
      </c>
      <c r="C18" s="258">
        <v>217344885</v>
      </c>
      <c r="D18" s="258">
        <v>0</v>
      </c>
      <c r="E18" s="258">
        <v>115308591</v>
      </c>
      <c r="F18" s="258">
        <v>0</v>
      </c>
      <c r="G18" s="258">
        <v>108977430</v>
      </c>
      <c r="H18" s="258">
        <v>0</v>
      </c>
      <c r="I18" s="258">
        <v>0</v>
      </c>
      <c r="J18" s="258">
        <v>0</v>
      </c>
      <c r="K18" s="258">
        <v>0</v>
      </c>
      <c r="L18" s="258">
        <f t="shared" si="1"/>
        <v>224286021</v>
      </c>
      <c r="M18" s="258">
        <v>982500</v>
      </c>
      <c r="N18" s="258">
        <f t="shared" si="2"/>
        <v>442613406</v>
      </c>
      <c r="O18" s="71"/>
      <c r="P18" s="483"/>
    </row>
    <row r="19" spans="1:16" s="83" customFormat="1" ht="18" customHeight="1">
      <c r="A19" s="158" t="s">
        <v>118</v>
      </c>
      <c r="B19" s="158" t="s">
        <v>195</v>
      </c>
      <c r="C19" s="258">
        <v>139783011</v>
      </c>
      <c r="D19" s="258">
        <v>0</v>
      </c>
      <c r="E19" s="258">
        <v>0</v>
      </c>
      <c r="F19" s="258">
        <v>0</v>
      </c>
      <c r="G19" s="258">
        <v>127070901</v>
      </c>
      <c r="H19" s="258">
        <v>0</v>
      </c>
      <c r="I19" s="258">
        <v>0</v>
      </c>
      <c r="J19" s="258">
        <v>0</v>
      </c>
      <c r="K19" s="258">
        <v>0</v>
      </c>
      <c r="L19" s="258">
        <f t="shared" si="1"/>
        <v>127070901</v>
      </c>
      <c r="M19" s="258">
        <v>0</v>
      </c>
      <c r="N19" s="258">
        <f t="shared" si="2"/>
        <v>266853912</v>
      </c>
      <c r="O19" s="71"/>
      <c r="P19" s="483"/>
    </row>
    <row r="20" spans="1:16" s="83" customFormat="1" ht="18" customHeight="1">
      <c r="A20" s="158" t="s">
        <v>119</v>
      </c>
      <c r="B20" s="158" t="s">
        <v>196</v>
      </c>
      <c r="C20" s="258">
        <v>2774462</v>
      </c>
      <c r="D20" s="258">
        <v>0</v>
      </c>
      <c r="E20" s="258">
        <v>9196564</v>
      </c>
      <c r="F20" s="258">
        <v>0</v>
      </c>
      <c r="G20" s="258">
        <v>0</v>
      </c>
      <c r="H20" s="258">
        <v>0</v>
      </c>
      <c r="I20" s="258">
        <v>0</v>
      </c>
      <c r="J20" s="258">
        <v>0</v>
      </c>
      <c r="K20" s="258">
        <v>0</v>
      </c>
      <c r="L20" s="258">
        <f t="shared" si="1"/>
        <v>9196564</v>
      </c>
      <c r="M20" s="258">
        <v>0</v>
      </c>
      <c r="N20" s="258">
        <f t="shared" si="2"/>
        <v>11971026</v>
      </c>
      <c r="O20" s="71"/>
      <c r="P20" s="483"/>
    </row>
    <row r="21" spans="1:16" s="83" customFormat="1" ht="18" customHeight="1">
      <c r="A21" s="158" t="s">
        <v>120</v>
      </c>
      <c r="B21" s="158" t="s">
        <v>218</v>
      </c>
      <c r="C21" s="258">
        <v>0</v>
      </c>
      <c r="D21" s="258">
        <v>0</v>
      </c>
      <c r="E21" s="258">
        <v>0</v>
      </c>
      <c r="F21" s="258">
        <v>0</v>
      </c>
      <c r="G21" s="258">
        <v>0</v>
      </c>
      <c r="H21" s="258">
        <v>0</v>
      </c>
      <c r="I21" s="258">
        <v>0</v>
      </c>
      <c r="J21" s="258">
        <v>0</v>
      </c>
      <c r="K21" s="258">
        <v>0</v>
      </c>
      <c r="L21" s="258">
        <f t="shared" si="1"/>
        <v>0</v>
      </c>
      <c r="M21" s="258">
        <v>0</v>
      </c>
      <c r="N21" s="258">
        <f t="shared" si="2"/>
        <v>0</v>
      </c>
      <c r="O21" s="71"/>
      <c r="P21" s="483"/>
    </row>
    <row r="22" spans="1:16" s="83" customFormat="1" ht="18" customHeight="1">
      <c r="A22" s="531" t="s">
        <v>346</v>
      </c>
      <c r="B22" s="532"/>
      <c r="C22" s="259">
        <f t="shared" ref="C22:N22" si="3">SUM(C10:C21)</f>
        <v>926056589</v>
      </c>
      <c r="D22" s="259">
        <f t="shared" si="3"/>
        <v>0</v>
      </c>
      <c r="E22" s="259">
        <f t="shared" si="3"/>
        <v>256303677</v>
      </c>
      <c r="F22" s="259">
        <f t="shared" si="3"/>
        <v>10393518</v>
      </c>
      <c r="G22" s="259">
        <f t="shared" si="3"/>
        <v>320267505</v>
      </c>
      <c r="H22" s="259">
        <f>SUM(H10:H21)</f>
        <v>453114</v>
      </c>
      <c r="I22" s="259">
        <f t="shared" si="3"/>
        <v>7161366</v>
      </c>
      <c r="J22" s="259">
        <f t="shared" ref="J22" si="4">SUM(J10:J21)</f>
        <v>0</v>
      </c>
      <c r="K22" s="259">
        <f t="shared" si="3"/>
        <v>76402357</v>
      </c>
      <c r="L22" s="259">
        <f t="shared" si="3"/>
        <v>670981537</v>
      </c>
      <c r="M22" s="259">
        <f t="shared" si="3"/>
        <v>7761063</v>
      </c>
      <c r="N22" s="259">
        <f t="shared" si="3"/>
        <v>1604799189</v>
      </c>
    </row>
    <row r="23" spans="1:16" s="83" customFormat="1" ht="18" customHeight="1">
      <c r="A23" s="158" t="s">
        <v>30</v>
      </c>
      <c r="B23" s="158" t="s">
        <v>14</v>
      </c>
      <c r="C23" s="258">
        <v>14406230</v>
      </c>
      <c r="D23" s="258">
        <v>5685701</v>
      </c>
      <c r="E23" s="258">
        <v>0</v>
      </c>
      <c r="F23" s="258">
        <v>0</v>
      </c>
      <c r="G23" s="258">
        <v>0</v>
      </c>
      <c r="H23" s="258">
        <v>0</v>
      </c>
      <c r="I23" s="258">
        <v>0</v>
      </c>
      <c r="J23" s="258">
        <v>0</v>
      </c>
      <c r="K23" s="258">
        <v>911531</v>
      </c>
      <c r="L23" s="258">
        <f t="shared" ref="L23:L28" si="5">SUM(E23:K23)</f>
        <v>911531</v>
      </c>
      <c r="M23" s="258">
        <v>0</v>
      </c>
      <c r="N23" s="258">
        <f t="shared" ref="N23:N28" si="6">SUM(C23,D23,L23,M23)</f>
        <v>21003462</v>
      </c>
      <c r="O23" s="71"/>
      <c r="P23" s="483"/>
    </row>
    <row r="24" spans="1:16" s="83" customFormat="1" ht="18" customHeight="1">
      <c r="A24" s="158" t="s">
        <v>121</v>
      </c>
      <c r="B24" s="158" t="s">
        <v>15</v>
      </c>
      <c r="C24" s="258">
        <v>5114140</v>
      </c>
      <c r="D24" s="258">
        <v>0</v>
      </c>
      <c r="E24" s="258">
        <v>0</v>
      </c>
      <c r="F24" s="258">
        <v>0</v>
      </c>
      <c r="G24" s="258">
        <v>0</v>
      </c>
      <c r="H24" s="258">
        <v>0</v>
      </c>
      <c r="I24" s="258">
        <v>0</v>
      </c>
      <c r="J24" s="258">
        <v>0</v>
      </c>
      <c r="K24" s="258">
        <v>3310501</v>
      </c>
      <c r="L24" s="258">
        <f t="shared" si="5"/>
        <v>3310501</v>
      </c>
      <c r="M24" s="258">
        <v>0</v>
      </c>
      <c r="N24" s="258">
        <f t="shared" si="6"/>
        <v>8424641</v>
      </c>
      <c r="O24" s="71"/>
      <c r="P24" s="483"/>
    </row>
    <row r="25" spans="1:16" s="83" customFormat="1" ht="18" customHeight="1">
      <c r="A25" s="158" t="s">
        <v>122</v>
      </c>
      <c r="B25" s="158" t="s">
        <v>16</v>
      </c>
      <c r="C25" s="258">
        <v>19206</v>
      </c>
      <c r="D25" s="258">
        <v>0</v>
      </c>
      <c r="E25" s="258">
        <v>0</v>
      </c>
      <c r="F25" s="258">
        <v>0</v>
      </c>
      <c r="G25" s="258">
        <v>0</v>
      </c>
      <c r="H25" s="258">
        <v>0</v>
      </c>
      <c r="I25" s="258">
        <v>0</v>
      </c>
      <c r="J25" s="258">
        <v>0</v>
      </c>
      <c r="K25" s="258">
        <v>2591039</v>
      </c>
      <c r="L25" s="258">
        <f t="shared" si="5"/>
        <v>2591039</v>
      </c>
      <c r="M25" s="258">
        <v>0</v>
      </c>
      <c r="N25" s="258">
        <f t="shared" si="6"/>
        <v>2610245</v>
      </c>
      <c r="O25" s="71"/>
      <c r="P25" s="483"/>
    </row>
    <row r="26" spans="1:16" s="83" customFormat="1" ht="18" customHeight="1">
      <c r="A26" s="158" t="s">
        <v>104</v>
      </c>
      <c r="B26" s="158" t="s">
        <v>17</v>
      </c>
      <c r="C26" s="258">
        <v>2985</v>
      </c>
      <c r="D26" s="258">
        <v>0</v>
      </c>
      <c r="E26" s="258">
        <v>0</v>
      </c>
      <c r="F26" s="258">
        <v>0</v>
      </c>
      <c r="G26" s="258">
        <v>0</v>
      </c>
      <c r="H26" s="258">
        <v>0</v>
      </c>
      <c r="I26" s="258">
        <v>0</v>
      </c>
      <c r="J26" s="258">
        <v>0</v>
      </c>
      <c r="K26" s="258">
        <v>4220630</v>
      </c>
      <c r="L26" s="258">
        <f t="shared" si="5"/>
        <v>4220630</v>
      </c>
      <c r="M26" s="258">
        <v>23324</v>
      </c>
      <c r="N26" s="258">
        <f t="shared" si="6"/>
        <v>4246939</v>
      </c>
      <c r="O26" s="71"/>
      <c r="P26" s="483"/>
    </row>
    <row r="27" spans="1:16" s="83" customFormat="1" ht="18" customHeight="1">
      <c r="A27" s="158" t="s">
        <v>105</v>
      </c>
      <c r="B27" s="158" t="s">
        <v>158</v>
      </c>
      <c r="C27" s="258">
        <v>34960927</v>
      </c>
      <c r="D27" s="258">
        <v>0</v>
      </c>
      <c r="E27" s="258">
        <v>5946607</v>
      </c>
      <c r="F27" s="258">
        <v>0</v>
      </c>
      <c r="G27" s="258">
        <v>0</v>
      </c>
      <c r="H27" s="258">
        <v>0</v>
      </c>
      <c r="I27" s="258">
        <v>0</v>
      </c>
      <c r="J27" s="258">
        <v>16176410</v>
      </c>
      <c r="K27" s="258">
        <v>0</v>
      </c>
      <c r="L27" s="258">
        <f t="shared" si="5"/>
        <v>22123017</v>
      </c>
      <c r="M27" s="258">
        <v>0</v>
      </c>
      <c r="N27" s="258">
        <f t="shared" si="6"/>
        <v>57083944</v>
      </c>
      <c r="O27" s="71"/>
      <c r="P27" s="483"/>
    </row>
    <row r="28" spans="1:16" s="83" customFormat="1" ht="18" customHeight="1">
      <c r="A28" s="158" t="s">
        <v>123</v>
      </c>
      <c r="B28" s="158" t="s">
        <v>159</v>
      </c>
      <c r="C28" s="258">
        <v>3057707</v>
      </c>
      <c r="D28" s="258">
        <v>0</v>
      </c>
      <c r="E28" s="258">
        <v>0</v>
      </c>
      <c r="F28" s="258">
        <v>0</v>
      </c>
      <c r="G28" s="258">
        <v>0</v>
      </c>
      <c r="H28" s="258">
        <v>0</v>
      </c>
      <c r="I28" s="258">
        <v>0</v>
      </c>
      <c r="J28" s="258">
        <v>2732046</v>
      </c>
      <c r="K28" s="258">
        <v>464308</v>
      </c>
      <c r="L28" s="258">
        <f t="shared" si="5"/>
        <v>3196354</v>
      </c>
      <c r="M28" s="258">
        <v>0</v>
      </c>
      <c r="N28" s="258">
        <f t="shared" si="6"/>
        <v>6254061</v>
      </c>
      <c r="O28" s="71"/>
      <c r="P28" s="483"/>
    </row>
    <row r="29" spans="1:16" s="83" customFormat="1" ht="18" customHeight="1">
      <c r="A29" s="531" t="s">
        <v>347</v>
      </c>
      <c r="B29" s="532"/>
      <c r="C29" s="259">
        <f>SUM(C23:C28)</f>
        <v>57561195</v>
      </c>
      <c r="D29" s="259">
        <f t="shared" ref="D29:N29" si="7">SUM(D23:D28)</f>
        <v>5685701</v>
      </c>
      <c r="E29" s="259">
        <f t="shared" si="7"/>
        <v>5946607</v>
      </c>
      <c r="F29" s="259">
        <f t="shared" si="7"/>
        <v>0</v>
      </c>
      <c r="G29" s="259">
        <f t="shared" si="7"/>
        <v>0</v>
      </c>
      <c r="H29" s="259">
        <f t="shared" si="7"/>
        <v>0</v>
      </c>
      <c r="I29" s="259">
        <f t="shared" si="7"/>
        <v>0</v>
      </c>
      <c r="J29" s="259">
        <f t="shared" ref="J29" si="8">SUM(J23:J28)</f>
        <v>18908456</v>
      </c>
      <c r="K29" s="259">
        <f t="shared" si="7"/>
        <v>11498009</v>
      </c>
      <c r="L29" s="259">
        <f t="shared" si="7"/>
        <v>36353072</v>
      </c>
      <c r="M29" s="259">
        <f t="shared" si="7"/>
        <v>23324</v>
      </c>
      <c r="N29" s="259">
        <f t="shared" si="7"/>
        <v>99623292</v>
      </c>
    </row>
    <row r="30" spans="1:16" s="83" customFormat="1" ht="18" customHeight="1">
      <c r="A30" s="154" t="s">
        <v>106</v>
      </c>
      <c r="B30" s="144" t="s">
        <v>197</v>
      </c>
      <c r="C30" s="258">
        <v>37005757</v>
      </c>
      <c r="D30" s="258">
        <v>0</v>
      </c>
      <c r="E30" s="258">
        <v>0</v>
      </c>
      <c r="F30" s="258">
        <v>0</v>
      </c>
      <c r="G30" s="258">
        <v>0</v>
      </c>
      <c r="H30" s="258">
        <v>16693079</v>
      </c>
      <c r="I30" s="258">
        <v>4777027</v>
      </c>
      <c r="J30" s="258">
        <v>0</v>
      </c>
      <c r="K30" s="258">
        <v>0</v>
      </c>
      <c r="L30" s="258">
        <f>SUM(E30:K30)</f>
        <v>21470106</v>
      </c>
      <c r="M30" s="258">
        <v>0</v>
      </c>
      <c r="N30" s="258">
        <f>SUM(C30,D30,L30,M30)</f>
        <v>58475863</v>
      </c>
      <c r="O30" s="71"/>
      <c r="P30" s="483"/>
    </row>
    <row r="31" spans="1:16" s="83" customFormat="1" ht="18" customHeight="1">
      <c r="A31" s="154" t="s">
        <v>107</v>
      </c>
      <c r="B31" s="144" t="s">
        <v>124</v>
      </c>
      <c r="C31" s="258">
        <v>2482564</v>
      </c>
      <c r="D31" s="258">
        <v>0</v>
      </c>
      <c r="E31" s="258">
        <v>0</v>
      </c>
      <c r="F31" s="258">
        <v>0</v>
      </c>
      <c r="G31" s="258">
        <v>0</v>
      </c>
      <c r="H31" s="258">
        <v>2568530</v>
      </c>
      <c r="I31" s="258">
        <v>458735</v>
      </c>
      <c r="J31" s="258">
        <v>0</v>
      </c>
      <c r="K31" s="258">
        <v>0</v>
      </c>
      <c r="L31" s="258">
        <f>SUM(E31:K31)</f>
        <v>3027265</v>
      </c>
      <c r="M31" s="258">
        <v>25000</v>
      </c>
      <c r="N31" s="258">
        <f>SUM(C31,D31,L31,M31)</f>
        <v>5534829</v>
      </c>
      <c r="O31" s="71"/>
      <c r="P31" s="483"/>
    </row>
    <row r="32" spans="1:16" s="83" customFormat="1" ht="18" customHeight="1">
      <c r="A32" s="154" t="s">
        <v>108</v>
      </c>
      <c r="B32" s="144" t="s">
        <v>198</v>
      </c>
      <c r="C32" s="258">
        <v>2118999</v>
      </c>
      <c r="D32" s="258">
        <v>0</v>
      </c>
      <c r="E32" s="258">
        <v>0</v>
      </c>
      <c r="F32" s="258">
        <v>0</v>
      </c>
      <c r="G32" s="258">
        <v>0</v>
      </c>
      <c r="H32" s="258">
        <v>6925056</v>
      </c>
      <c r="I32" s="258">
        <v>0</v>
      </c>
      <c r="J32" s="258">
        <v>0</v>
      </c>
      <c r="K32" s="258">
        <v>0</v>
      </c>
      <c r="L32" s="258">
        <f>SUM(E32:K32)</f>
        <v>6925056</v>
      </c>
      <c r="M32" s="258">
        <v>0</v>
      </c>
      <c r="N32" s="258">
        <f>SUM(C32,D32,L32,M32)</f>
        <v>9044055</v>
      </c>
      <c r="O32" s="71"/>
      <c r="P32" s="483"/>
    </row>
    <row r="33" spans="1:16" s="84" customFormat="1" ht="18" customHeight="1">
      <c r="A33" s="531" t="s">
        <v>348</v>
      </c>
      <c r="B33" s="532"/>
      <c r="C33" s="259">
        <f t="shared" ref="C33:N33" si="9">SUM(C30:C32)</f>
        <v>41607320</v>
      </c>
      <c r="D33" s="259">
        <f t="shared" si="9"/>
        <v>0</v>
      </c>
      <c r="E33" s="259">
        <f t="shared" si="9"/>
        <v>0</v>
      </c>
      <c r="F33" s="259">
        <f t="shared" si="9"/>
        <v>0</v>
      </c>
      <c r="G33" s="259">
        <f t="shared" si="9"/>
        <v>0</v>
      </c>
      <c r="H33" s="259">
        <f t="shared" si="9"/>
        <v>26186665</v>
      </c>
      <c r="I33" s="259">
        <f t="shared" si="9"/>
        <v>5235762</v>
      </c>
      <c r="J33" s="259">
        <f t="shared" ref="J33" si="10">SUM(J30:J32)</f>
        <v>0</v>
      </c>
      <c r="K33" s="259">
        <f t="shared" si="9"/>
        <v>0</v>
      </c>
      <c r="L33" s="259">
        <f t="shared" si="9"/>
        <v>31422427</v>
      </c>
      <c r="M33" s="259">
        <f t="shared" si="9"/>
        <v>25000</v>
      </c>
      <c r="N33" s="259">
        <f t="shared" si="9"/>
        <v>73054747</v>
      </c>
    </row>
    <row r="34" spans="1:16" s="84" customFormat="1" ht="18" customHeight="1">
      <c r="A34" s="169" t="s">
        <v>109</v>
      </c>
      <c r="B34" s="169" t="s">
        <v>19</v>
      </c>
      <c r="C34" s="258">
        <v>21325489</v>
      </c>
      <c r="D34" s="258">
        <v>0</v>
      </c>
      <c r="E34" s="258">
        <v>0</v>
      </c>
      <c r="F34" s="258">
        <v>19349885</v>
      </c>
      <c r="G34" s="258">
        <v>2488706</v>
      </c>
      <c r="H34" s="258">
        <v>971645</v>
      </c>
      <c r="I34" s="258">
        <v>0</v>
      </c>
      <c r="J34" s="258">
        <v>0</v>
      </c>
      <c r="K34" s="258">
        <v>0</v>
      </c>
      <c r="L34" s="258">
        <f>SUM(E34:K34)</f>
        <v>22810236</v>
      </c>
      <c r="M34" s="258">
        <v>101859</v>
      </c>
      <c r="N34" s="258">
        <f>SUM(C34,D34,L34,M34)</f>
        <v>44237584</v>
      </c>
      <c r="O34" s="71"/>
      <c r="P34" s="483"/>
    </row>
    <row r="35" spans="1:16" s="84" customFormat="1" ht="18" customHeight="1">
      <c r="A35" s="531" t="s">
        <v>358</v>
      </c>
      <c r="B35" s="532"/>
      <c r="C35" s="259">
        <f>C34</f>
        <v>21325489</v>
      </c>
      <c r="D35" s="259">
        <f t="shared" ref="D35:N35" si="11">D34</f>
        <v>0</v>
      </c>
      <c r="E35" s="259">
        <f t="shared" si="11"/>
        <v>0</v>
      </c>
      <c r="F35" s="259">
        <f t="shared" si="11"/>
        <v>19349885</v>
      </c>
      <c r="G35" s="259">
        <f t="shared" si="11"/>
        <v>2488706</v>
      </c>
      <c r="H35" s="259">
        <f t="shared" si="11"/>
        <v>971645</v>
      </c>
      <c r="I35" s="259">
        <f t="shared" si="11"/>
        <v>0</v>
      </c>
      <c r="J35" s="259">
        <f t="shared" ref="J35" si="12">J34</f>
        <v>0</v>
      </c>
      <c r="K35" s="259">
        <f t="shared" si="11"/>
        <v>0</v>
      </c>
      <c r="L35" s="259">
        <f t="shared" si="11"/>
        <v>22810236</v>
      </c>
      <c r="M35" s="259">
        <f t="shared" si="11"/>
        <v>101859</v>
      </c>
      <c r="N35" s="259">
        <f t="shared" si="11"/>
        <v>44237584</v>
      </c>
    </row>
    <row r="36" spans="1:16" s="83" customFormat="1" ht="18" customHeight="1">
      <c r="A36" s="158" t="s">
        <v>110</v>
      </c>
      <c r="B36" s="158" t="s">
        <v>20</v>
      </c>
      <c r="C36" s="258">
        <v>8869830</v>
      </c>
      <c r="D36" s="258">
        <v>0</v>
      </c>
      <c r="E36" s="258">
        <v>5625348</v>
      </c>
      <c r="F36" s="258">
        <v>429788</v>
      </c>
      <c r="G36" s="258">
        <v>1334435</v>
      </c>
      <c r="H36" s="258">
        <v>691927</v>
      </c>
      <c r="I36" s="258">
        <v>250718</v>
      </c>
      <c r="J36" s="258">
        <v>0</v>
      </c>
      <c r="K36" s="258">
        <v>383377</v>
      </c>
      <c r="L36" s="258">
        <f t="shared" ref="L36:L39" si="13">SUM(E36:K36)</f>
        <v>8715593</v>
      </c>
      <c r="M36" s="258">
        <v>0</v>
      </c>
      <c r="N36" s="258">
        <f t="shared" ref="N36:N42" si="14">SUM(C36,D36,L36,M36)</f>
        <v>17585423</v>
      </c>
      <c r="O36" s="71"/>
      <c r="P36" s="483"/>
    </row>
    <row r="37" spans="1:16" s="83" customFormat="1" ht="18" customHeight="1">
      <c r="A37" s="158" t="s">
        <v>111</v>
      </c>
      <c r="B37" s="158" t="s">
        <v>21</v>
      </c>
      <c r="C37" s="258">
        <v>6952698</v>
      </c>
      <c r="D37" s="258">
        <v>0</v>
      </c>
      <c r="E37" s="258">
        <v>2065517</v>
      </c>
      <c r="F37" s="258">
        <v>91824</v>
      </c>
      <c r="G37" s="258">
        <v>629149</v>
      </c>
      <c r="H37" s="258">
        <v>363115</v>
      </c>
      <c r="I37" s="258">
        <v>92705</v>
      </c>
      <c r="J37" s="258">
        <v>0</v>
      </c>
      <c r="K37" s="258">
        <v>75732</v>
      </c>
      <c r="L37" s="258">
        <f t="shared" si="13"/>
        <v>3318042</v>
      </c>
      <c r="M37" s="258">
        <v>14346</v>
      </c>
      <c r="N37" s="258">
        <f t="shared" si="14"/>
        <v>10285086</v>
      </c>
      <c r="O37" s="71"/>
      <c r="P37" s="483"/>
    </row>
    <row r="38" spans="1:16" s="83" customFormat="1" ht="18" customHeight="1">
      <c r="A38" s="158" t="s">
        <v>112</v>
      </c>
      <c r="B38" s="158" t="s">
        <v>22</v>
      </c>
      <c r="C38" s="258">
        <v>117035</v>
      </c>
      <c r="D38" s="258">
        <v>0</v>
      </c>
      <c r="E38" s="258">
        <v>143884</v>
      </c>
      <c r="F38" s="258">
        <v>11513</v>
      </c>
      <c r="G38" s="258">
        <v>25927</v>
      </c>
      <c r="H38" s="258">
        <v>22910</v>
      </c>
      <c r="I38" s="258">
        <v>4828</v>
      </c>
      <c r="J38" s="258">
        <v>0</v>
      </c>
      <c r="K38" s="258">
        <v>1489</v>
      </c>
      <c r="L38" s="258">
        <f t="shared" si="13"/>
        <v>210551</v>
      </c>
      <c r="M38" s="258">
        <v>0</v>
      </c>
      <c r="N38" s="258">
        <f t="shared" si="14"/>
        <v>327586</v>
      </c>
      <c r="O38" s="71"/>
      <c r="P38" s="483"/>
    </row>
    <row r="39" spans="1:16" s="83" customFormat="1" ht="18" customHeight="1">
      <c r="A39" s="158" t="s">
        <v>113</v>
      </c>
      <c r="B39" s="158" t="s">
        <v>23</v>
      </c>
      <c r="C39" s="258">
        <v>16010695</v>
      </c>
      <c r="D39" s="258">
        <v>0</v>
      </c>
      <c r="E39" s="258">
        <v>10118988</v>
      </c>
      <c r="F39" s="258">
        <v>830092</v>
      </c>
      <c r="G39" s="258">
        <v>2424370</v>
      </c>
      <c r="H39" s="258">
        <v>1238848</v>
      </c>
      <c r="I39" s="258">
        <v>445523</v>
      </c>
      <c r="J39" s="258">
        <v>0</v>
      </c>
      <c r="K39" s="258">
        <v>627700</v>
      </c>
      <c r="L39" s="258">
        <f t="shared" si="13"/>
        <v>15685521</v>
      </c>
      <c r="M39" s="258">
        <v>500000</v>
      </c>
      <c r="N39" s="258">
        <f t="shared" si="14"/>
        <v>32196216</v>
      </c>
      <c r="O39" s="71"/>
      <c r="P39" s="483"/>
    </row>
    <row r="40" spans="1:16" s="84" customFormat="1" ht="18" customHeight="1">
      <c r="A40" s="531" t="s">
        <v>350</v>
      </c>
      <c r="B40" s="532"/>
      <c r="C40" s="259">
        <f t="shared" ref="C40:N40" si="15">SUM(C36:C39)</f>
        <v>31950258</v>
      </c>
      <c r="D40" s="259">
        <f t="shared" si="15"/>
        <v>0</v>
      </c>
      <c r="E40" s="259">
        <f t="shared" si="15"/>
        <v>17953737</v>
      </c>
      <c r="F40" s="259">
        <f t="shared" si="15"/>
        <v>1363217</v>
      </c>
      <c r="G40" s="259">
        <f t="shared" si="15"/>
        <v>4413881</v>
      </c>
      <c r="H40" s="259">
        <f t="shared" si="15"/>
        <v>2316800</v>
      </c>
      <c r="I40" s="259">
        <f t="shared" si="15"/>
        <v>793774</v>
      </c>
      <c r="J40" s="259">
        <f t="shared" ref="J40" si="16">SUM(J36:J39)</f>
        <v>0</v>
      </c>
      <c r="K40" s="259">
        <f t="shared" si="15"/>
        <v>1088298</v>
      </c>
      <c r="L40" s="259">
        <f t="shared" si="15"/>
        <v>27929707</v>
      </c>
      <c r="M40" s="259">
        <f t="shared" si="15"/>
        <v>514346</v>
      </c>
      <c r="N40" s="259">
        <f t="shared" si="15"/>
        <v>60394311</v>
      </c>
    </row>
    <row r="41" spans="1:16" s="84" customFormat="1" ht="18" customHeight="1">
      <c r="A41" s="158" t="s">
        <v>199</v>
      </c>
      <c r="B41" s="158" t="s">
        <v>125</v>
      </c>
      <c r="C41" s="258">
        <v>29163824</v>
      </c>
      <c r="D41" s="258">
        <v>0</v>
      </c>
      <c r="E41" s="258">
        <v>14771171</v>
      </c>
      <c r="F41" s="258">
        <v>0</v>
      </c>
      <c r="G41" s="258">
        <v>4116730</v>
      </c>
      <c r="H41" s="258">
        <v>0</v>
      </c>
      <c r="I41" s="258">
        <v>468233</v>
      </c>
      <c r="J41" s="258">
        <v>0</v>
      </c>
      <c r="K41" s="258">
        <v>0</v>
      </c>
      <c r="L41" s="258">
        <f>SUM(E41:K41)</f>
        <v>19356134</v>
      </c>
      <c r="M41" s="258">
        <v>0</v>
      </c>
      <c r="N41" s="258">
        <f t="shared" si="14"/>
        <v>48519958</v>
      </c>
      <c r="O41" s="71"/>
      <c r="P41" s="483"/>
    </row>
    <row r="42" spans="1:16" s="84" customFormat="1" ht="21" customHeight="1">
      <c r="A42" s="531" t="s">
        <v>359</v>
      </c>
      <c r="B42" s="532"/>
      <c r="C42" s="259">
        <f t="shared" ref="C42:M42" si="17">SUM(C41)</f>
        <v>29163824</v>
      </c>
      <c r="D42" s="259">
        <f t="shared" si="17"/>
        <v>0</v>
      </c>
      <c r="E42" s="259">
        <f t="shared" si="17"/>
        <v>14771171</v>
      </c>
      <c r="F42" s="259">
        <f t="shared" si="17"/>
        <v>0</v>
      </c>
      <c r="G42" s="259">
        <f t="shared" si="17"/>
        <v>4116730</v>
      </c>
      <c r="H42" s="259">
        <f t="shared" si="17"/>
        <v>0</v>
      </c>
      <c r="I42" s="259">
        <f t="shared" si="17"/>
        <v>468233</v>
      </c>
      <c r="J42" s="259">
        <f t="shared" ref="J42" si="18">SUM(J41)</f>
        <v>0</v>
      </c>
      <c r="K42" s="259">
        <f t="shared" si="17"/>
        <v>0</v>
      </c>
      <c r="L42" s="259">
        <f t="shared" si="17"/>
        <v>19356134</v>
      </c>
      <c r="M42" s="259">
        <f t="shared" si="17"/>
        <v>0</v>
      </c>
      <c r="N42" s="259">
        <f t="shared" si="14"/>
        <v>48519958</v>
      </c>
    </row>
    <row r="43" spans="1:16" s="84" customFormat="1" ht="16.2">
      <c r="A43" s="167"/>
      <c r="B43" s="167"/>
      <c r="C43" s="260"/>
      <c r="D43" s="260"/>
      <c r="E43" s="260"/>
      <c r="F43" s="260"/>
      <c r="G43" s="260"/>
      <c r="H43" s="260"/>
      <c r="I43" s="260"/>
      <c r="J43" s="260"/>
      <c r="K43" s="260"/>
      <c r="L43" s="260"/>
      <c r="M43" s="260"/>
      <c r="N43" s="261"/>
    </row>
    <row r="44" spans="1:16" s="84" customFormat="1" ht="15" customHeight="1" thickBot="1">
      <c r="A44" s="163" t="s">
        <v>360</v>
      </c>
      <c r="B44" s="262"/>
      <c r="C44" s="263">
        <f>SUM(C40,C35,C33,C29,C22,C9,C42)</f>
        <v>1116329695</v>
      </c>
      <c r="D44" s="263">
        <f>SUM(D40,D35,D33,D29,D22,D9,D42)</f>
        <v>5685701</v>
      </c>
      <c r="E44" s="263">
        <f>SUM(E40,E35,E33,E29,E22,E9,E42)</f>
        <v>305566643</v>
      </c>
      <c r="F44" s="263">
        <f>SUM(F40,F35,F33,F29,F22,F9,F42)</f>
        <v>31158166</v>
      </c>
      <c r="G44" s="263">
        <f>SUM(G40,G35,G33,G29,G22,G9+G42)</f>
        <v>331317520</v>
      </c>
      <c r="H44" s="263">
        <f>SUM(H40,H35,H33,H29,H22,H9,H42)</f>
        <v>32201755</v>
      </c>
      <c r="I44" s="263">
        <f>SUM(I40,I35,I33,I29,I22,I9,I42)</f>
        <v>13820259</v>
      </c>
      <c r="J44" s="263">
        <f>SUM(J40,J35,J33,J29,J22,J9,J42)</f>
        <v>18908456</v>
      </c>
      <c r="K44" s="263">
        <f>SUM(K40,K35,K33,K29,K22,K9+K42)</f>
        <v>88988664</v>
      </c>
      <c r="L44" s="263">
        <f>SUM(L40,L35,L33,L29,L22,L9,L42)</f>
        <v>821961463</v>
      </c>
      <c r="M44" s="263">
        <f>SUM(M40,M35,M33,M29,M22,M9,M42)</f>
        <v>8425592</v>
      </c>
      <c r="N44" s="264">
        <f>SUM(N40,N35,N33,N29,N22,N9,N42)</f>
        <v>1952402451</v>
      </c>
    </row>
    <row r="45" spans="1:16" s="15" customFormat="1" ht="15" thickTop="1">
      <c r="A45" s="82" t="s">
        <v>148</v>
      </c>
      <c r="B45" s="62"/>
      <c r="C45" s="17"/>
      <c r="D45" s="17"/>
      <c r="E45" s="17"/>
      <c r="F45" s="17"/>
      <c r="G45" s="17"/>
      <c r="H45" s="17"/>
      <c r="I45" s="17"/>
      <c r="J45" s="17"/>
      <c r="K45" s="17"/>
      <c r="L45" s="17"/>
      <c r="M45" s="17"/>
      <c r="N45" s="17"/>
    </row>
    <row r="46" spans="1:16" s="15" customFormat="1" ht="14.4">
      <c r="A46" s="62"/>
      <c r="B46" s="62"/>
      <c r="C46" s="100"/>
      <c r="D46" s="17"/>
      <c r="E46" s="17"/>
      <c r="F46" s="17"/>
      <c r="G46" s="17"/>
      <c r="H46" s="17"/>
      <c r="I46" s="17"/>
      <c r="J46" s="17"/>
      <c r="K46" s="17"/>
      <c r="L46" s="17"/>
      <c r="M46" s="17"/>
      <c r="N46" s="17"/>
    </row>
    <row r="47" spans="1:16" s="15" customFormat="1" ht="14.4">
      <c r="A47" s="62"/>
      <c r="B47" s="62"/>
      <c r="C47" s="100"/>
      <c r="D47" s="17"/>
      <c r="E47" s="17"/>
      <c r="F47" s="17"/>
      <c r="G47" s="17"/>
      <c r="H47" s="17"/>
      <c r="I47" s="17"/>
      <c r="J47" s="17"/>
      <c r="K47" s="17"/>
      <c r="L47" s="17"/>
      <c r="M47" s="17"/>
      <c r="N47" s="17"/>
    </row>
    <row r="48" spans="1:16" s="15" customFormat="1" ht="14.4">
      <c r="A48" s="62"/>
      <c r="B48" s="62"/>
      <c r="C48" s="100"/>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4.4">
      <c r="A50" s="62"/>
      <c r="B50" s="62"/>
      <c r="C50" s="17"/>
      <c r="D50" s="17"/>
      <c r="E50" s="17"/>
      <c r="F50" s="17"/>
      <c r="G50" s="17"/>
      <c r="H50" s="17"/>
      <c r="I50" s="17"/>
      <c r="J50" s="17"/>
      <c r="K50" s="17"/>
      <c r="L50" s="17"/>
      <c r="M50" s="17"/>
      <c r="N50" s="17"/>
    </row>
    <row r="51" spans="1:14" s="15" customFormat="1" ht="14.4">
      <c r="A51" s="62"/>
      <c r="B51" s="62"/>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row r="89" spans="3:14" s="15" customFormat="1" ht="13.8">
      <c r="C89" s="17"/>
      <c r="D89" s="17"/>
      <c r="E89" s="17"/>
      <c r="F89" s="17"/>
      <c r="G89" s="17"/>
      <c r="H89" s="17"/>
      <c r="I89" s="17"/>
      <c r="J89" s="17"/>
      <c r="K89" s="17"/>
      <c r="L89" s="17"/>
      <c r="M89" s="17"/>
      <c r="N89" s="17"/>
    </row>
    <row r="90" spans="3:14" s="15" customFormat="1" ht="13.8">
      <c r="C90" s="17"/>
      <c r="D90" s="17"/>
      <c r="E90" s="17"/>
      <c r="F90" s="17"/>
      <c r="G90" s="17"/>
      <c r="H90" s="17"/>
      <c r="I90" s="17"/>
      <c r="J90" s="17"/>
      <c r="K90" s="17"/>
      <c r="L90" s="17"/>
      <c r="M90" s="17"/>
      <c r="N90" s="17"/>
    </row>
  </sheetData>
  <mergeCells count="9">
    <mergeCell ref="A42:B42"/>
    <mergeCell ref="A5:B5"/>
    <mergeCell ref="E5:L5"/>
    <mergeCell ref="A40:B40"/>
    <mergeCell ref="A9:B9"/>
    <mergeCell ref="A22:B22"/>
    <mergeCell ref="A29:B29"/>
    <mergeCell ref="A33:B33"/>
    <mergeCell ref="A35:B35"/>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7"/>
  <sheetViews>
    <sheetView topLeftCell="A22" zoomScale="80" zoomScaleNormal="80" workbookViewId="0">
      <selection activeCell="I36" sqref="I36"/>
    </sheetView>
  </sheetViews>
  <sheetFormatPr defaultColWidth="9.109375" defaultRowHeight="15.6"/>
  <cols>
    <col min="1" max="1" width="7.6640625" style="189" customWidth="1"/>
    <col min="2" max="2" width="52.6640625" style="189" bestFit="1" customWidth="1"/>
    <col min="3" max="3" width="17.109375" style="192" bestFit="1" customWidth="1"/>
    <col min="4" max="4" width="13.6640625" style="192" bestFit="1" customWidth="1"/>
    <col min="5" max="5" width="16.44140625" style="192" bestFit="1" customWidth="1"/>
    <col min="6" max="9" width="15.109375" style="192" bestFit="1" customWidth="1"/>
    <col min="10" max="10" width="15" style="192" customWidth="1"/>
    <col min="11" max="11" width="15.109375" style="192" bestFit="1" customWidth="1"/>
    <col min="12" max="12" width="16.44140625" style="192" bestFit="1" customWidth="1"/>
    <col min="13" max="13" width="13.88671875" style="192" bestFit="1" customWidth="1"/>
    <col min="14" max="14" width="17.109375" style="192" bestFit="1" customWidth="1"/>
    <col min="15" max="16384" width="9.109375" style="189"/>
  </cols>
  <sheetData>
    <row r="1" spans="1:14" s="364" customFormat="1" ht="16.2">
      <c r="A1" s="240" t="s">
        <v>3</v>
      </c>
      <c r="B1" s="240"/>
      <c r="C1" s="240"/>
      <c r="D1" s="240"/>
      <c r="E1" s="240"/>
      <c r="F1" s="240"/>
      <c r="G1" s="240"/>
      <c r="H1" s="240"/>
      <c r="I1" s="240"/>
      <c r="J1" s="240"/>
      <c r="K1" s="240"/>
      <c r="L1" s="240"/>
      <c r="M1" s="240"/>
      <c r="N1" s="240"/>
    </row>
    <row r="2" spans="1:14">
      <c r="A2" s="241" t="s">
        <v>256</v>
      </c>
      <c r="B2" s="241"/>
      <c r="C2" s="241"/>
      <c r="D2" s="241"/>
      <c r="E2" s="241"/>
      <c r="F2" s="241"/>
      <c r="G2" s="241"/>
      <c r="H2" s="241"/>
      <c r="I2" s="241"/>
      <c r="J2" s="241"/>
      <c r="K2" s="241"/>
      <c r="L2" s="241"/>
      <c r="M2" s="241"/>
      <c r="N2" s="241"/>
    </row>
    <row r="3" spans="1:14">
      <c r="A3" s="188" t="s">
        <v>424</v>
      </c>
      <c r="B3" s="188"/>
      <c r="C3" s="188"/>
      <c r="D3" s="188"/>
      <c r="E3" s="188"/>
      <c r="F3" s="188"/>
      <c r="G3" s="188"/>
      <c r="H3" s="188"/>
      <c r="I3" s="188"/>
      <c r="J3" s="188"/>
      <c r="K3" s="188"/>
      <c r="L3" s="188"/>
      <c r="M3" s="188"/>
      <c r="N3" s="188"/>
    </row>
    <row r="4" spans="1:14">
      <c r="A4" s="265"/>
      <c r="B4" s="365"/>
      <c r="C4" s="365"/>
      <c r="D4" s="365"/>
      <c r="E4" s="365"/>
      <c r="F4" s="365"/>
      <c r="G4" s="365"/>
      <c r="H4" s="365"/>
      <c r="I4" s="366"/>
      <c r="J4" s="366"/>
      <c r="K4" s="365"/>
      <c r="L4" s="365"/>
      <c r="M4" s="365"/>
      <c r="N4" s="484"/>
    </row>
    <row r="5" spans="1:14">
      <c r="A5" s="266"/>
      <c r="B5" s="242"/>
      <c r="C5" s="244"/>
      <c r="D5" s="245"/>
      <c r="E5" s="536" t="s">
        <v>6</v>
      </c>
      <c r="F5" s="536"/>
      <c r="G5" s="536"/>
      <c r="H5" s="536"/>
      <c r="I5" s="536"/>
      <c r="J5" s="536"/>
      <c r="K5" s="536"/>
      <c r="L5" s="536"/>
      <c r="M5" s="244"/>
      <c r="N5" s="245"/>
    </row>
    <row r="6" spans="1:14" ht="32.4">
      <c r="A6" s="367"/>
      <c r="B6" s="368"/>
      <c r="C6" s="248" t="s">
        <v>4</v>
      </c>
      <c r="D6" s="369" t="s">
        <v>5</v>
      </c>
      <c r="E6" s="370" t="s">
        <v>252</v>
      </c>
      <c r="F6" s="371" t="s">
        <v>253</v>
      </c>
      <c r="G6" s="371" t="s">
        <v>246</v>
      </c>
      <c r="H6" s="371" t="s">
        <v>254</v>
      </c>
      <c r="I6" s="371" t="s">
        <v>255</v>
      </c>
      <c r="J6" s="371" t="s">
        <v>247</v>
      </c>
      <c r="K6" s="142" t="s">
        <v>248</v>
      </c>
      <c r="L6" s="372" t="s">
        <v>160</v>
      </c>
      <c r="M6" s="252" t="s">
        <v>161</v>
      </c>
      <c r="N6" s="253" t="s">
        <v>162</v>
      </c>
    </row>
    <row r="7" spans="1:14" ht="8.25" customHeight="1">
      <c r="A7" s="414"/>
      <c r="B7" s="414"/>
      <c r="C7" s="415"/>
      <c r="D7" s="415"/>
      <c r="E7" s="416"/>
      <c r="F7" s="416"/>
      <c r="G7" s="416"/>
      <c r="H7" s="416"/>
      <c r="I7" s="416"/>
      <c r="J7" s="416"/>
      <c r="K7" s="417"/>
      <c r="L7" s="417"/>
      <c r="M7" s="417"/>
      <c r="N7" s="417"/>
    </row>
    <row r="8" spans="1:14" s="179" customFormat="1" ht="18" customHeight="1">
      <c r="A8" s="155" t="s">
        <v>24</v>
      </c>
      <c r="B8" s="155" t="s">
        <v>7</v>
      </c>
      <c r="C8" s="373">
        <v>0</v>
      </c>
      <c r="D8" s="373">
        <v>0</v>
      </c>
      <c r="E8" s="373">
        <v>0</v>
      </c>
      <c r="F8" s="373">
        <v>0</v>
      </c>
      <c r="G8" s="373">
        <v>0</v>
      </c>
      <c r="H8" s="373">
        <v>0</v>
      </c>
      <c r="I8" s="373">
        <v>0</v>
      </c>
      <c r="J8" s="373">
        <v>0</v>
      </c>
      <c r="K8" s="373">
        <v>0</v>
      </c>
      <c r="L8" s="373">
        <f>SUM(E8:K8)</f>
        <v>0</v>
      </c>
      <c r="M8" s="373">
        <v>0</v>
      </c>
      <c r="N8" s="373">
        <f>SUM(C8,D8,L8,M8)</f>
        <v>0</v>
      </c>
    </row>
    <row r="9" spans="1:14" s="179" customFormat="1" ht="18" customHeight="1">
      <c r="A9" s="531" t="s">
        <v>345</v>
      </c>
      <c r="B9" s="532"/>
      <c r="C9" s="374">
        <f>C8</f>
        <v>0</v>
      </c>
      <c r="D9" s="374">
        <f t="shared" ref="D9:N9" si="0">D8</f>
        <v>0</v>
      </c>
      <c r="E9" s="374">
        <f t="shared" si="0"/>
        <v>0</v>
      </c>
      <c r="F9" s="374">
        <f t="shared" si="0"/>
        <v>0</v>
      </c>
      <c r="G9" s="374">
        <f t="shared" si="0"/>
        <v>0</v>
      </c>
      <c r="H9" s="374">
        <f t="shared" si="0"/>
        <v>0</v>
      </c>
      <c r="I9" s="374">
        <f t="shared" si="0"/>
        <v>0</v>
      </c>
      <c r="J9" s="374">
        <f t="shared" si="0"/>
        <v>0</v>
      </c>
      <c r="K9" s="374">
        <f t="shared" si="0"/>
        <v>0</v>
      </c>
      <c r="L9" s="374">
        <f t="shared" si="0"/>
        <v>0</v>
      </c>
      <c r="M9" s="374">
        <f t="shared" si="0"/>
        <v>0</v>
      </c>
      <c r="N9" s="374">
        <f t="shared" si="0"/>
        <v>0</v>
      </c>
    </row>
    <row r="10" spans="1:14" s="179" customFormat="1" ht="18" customHeight="1">
      <c r="A10" s="155" t="s">
        <v>25</v>
      </c>
      <c r="B10" s="155" t="s">
        <v>8</v>
      </c>
      <c r="C10" s="373">
        <v>5114248</v>
      </c>
      <c r="D10" s="373">
        <v>0</v>
      </c>
      <c r="E10" s="373">
        <v>0</v>
      </c>
      <c r="F10" s="373">
        <v>0</v>
      </c>
      <c r="G10" s="373">
        <v>0</v>
      </c>
      <c r="H10" s="373">
        <v>0</v>
      </c>
      <c r="I10" s="373">
        <v>0</v>
      </c>
      <c r="J10" s="373">
        <v>0</v>
      </c>
      <c r="K10" s="373">
        <v>0</v>
      </c>
      <c r="L10" s="373">
        <f>SUM(E10:K10)</f>
        <v>0</v>
      </c>
      <c r="M10" s="373">
        <v>159182</v>
      </c>
      <c r="N10" s="373">
        <f t="shared" ref="N10:N21" si="1">SUM(C10,D10,L10,M10)</f>
        <v>5273430</v>
      </c>
    </row>
    <row r="11" spans="1:14" s="179" customFormat="1" ht="18" customHeight="1">
      <c r="A11" s="155" t="s">
        <v>26</v>
      </c>
      <c r="B11" s="155" t="s">
        <v>9</v>
      </c>
      <c r="C11" s="373">
        <v>0</v>
      </c>
      <c r="D11" s="373">
        <v>0</v>
      </c>
      <c r="E11" s="373">
        <v>0</v>
      </c>
      <c r="F11" s="373">
        <v>0</v>
      </c>
      <c r="G11" s="373">
        <v>0</v>
      </c>
      <c r="H11" s="373">
        <v>0</v>
      </c>
      <c r="I11" s="373">
        <v>0</v>
      </c>
      <c r="J11" s="373">
        <v>0</v>
      </c>
      <c r="K11" s="373">
        <v>610012</v>
      </c>
      <c r="L11" s="373">
        <f t="shared" ref="L11:L21" si="2">SUM(E11:K11)</f>
        <v>610012</v>
      </c>
      <c r="M11" s="373">
        <v>-93681</v>
      </c>
      <c r="N11" s="373">
        <f t="shared" si="1"/>
        <v>516331</v>
      </c>
    </row>
    <row r="12" spans="1:14" s="179" customFormat="1" ht="18" customHeight="1">
      <c r="A12" s="155" t="s">
        <v>27</v>
      </c>
      <c r="B12" s="155" t="s">
        <v>189</v>
      </c>
      <c r="C12" s="373">
        <v>-2841761</v>
      </c>
      <c r="D12" s="373">
        <v>0</v>
      </c>
      <c r="E12" s="373">
        <v>0</v>
      </c>
      <c r="F12" s="373">
        <v>0</v>
      </c>
      <c r="G12" s="373">
        <v>0</v>
      </c>
      <c r="H12" s="373">
        <v>0</v>
      </c>
      <c r="I12" s="373">
        <v>0</v>
      </c>
      <c r="J12" s="373">
        <v>0</v>
      </c>
      <c r="K12" s="373">
        <v>0</v>
      </c>
      <c r="L12" s="373">
        <f t="shared" si="2"/>
        <v>0</v>
      </c>
      <c r="M12" s="373">
        <v>0</v>
      </c>
      <c r="N12" s="373">
        <f t="shared" si="1"/>
        <v>-2841761</v>
      </c>
    </row>
    <row r="13" spans="1:14" s="179" customFormat="1" ht="18" customHeight="1">
      <c r="A13" s="155" t="s">
        <v>28</v>
      </c>
      <c r="B13" s="155" t="s">
        <v>190</v>
      </c>
      <c r="C13" s="373">
        <v>0</v>
      </c>
      <c r="D13" s="373">
        <v>0</v>
      </c>
      <c r="E13" s="373">
        <v>0</v>
      </c>
      <c r="F13" s="373">
        <v>0</v>
      </c>
      <c r="G13" s="373">
        <v>0</v>
      </c>
      <c r="H13" s="373">
        <v>0</v>
      </c>
      <c r="I13" s="373">
        <v>0</v>
      </c>
      <c r="J13" s="373">
        <v>0</v>
      </c>
      <c r="K13" s="373">
        <v>0</v>
      </c>
      <c r="L13" s="373">
        <f t="shared" si="2"/>
        <v>0</v>
      </c>
      <c r="M13" s="373">
        <v>0</v>
      </c>
      <c r="N13" s="373">
        <f t="shared" si="1"/>
        <v>0</v>
      </c>
    </row>
    <row r="14" spans="1:14" s="179" customFormat="1" ht="18" customHeight="1">
      <c r="A14" s="155" t="s">
        <v>29</v>
      </c>
      <c r="B14" s="155" t="s">
        <v>191</v>
      </c>
      <c r="C14" s="373">
        <v>0</v>
      </c>
      <c r="D14" s="373">
        <v>0</v>
      </c>
      <c r="E14" s="373">
        <v>0</v>
      </c>
      <c r="F14" s="373">
        <v>0</v>
      </c>
      <c r="G14" s="373">
        <v>0</v>
      </c>
      <c r="H14" s="373">
        <v>0</v>
      </c>
      <c r="I14" s="373">
        <v>0</v>
      </c>
      <c r="J14" s="373">
        <v>0</v>
      </c>
      <c r="K14" s="373">
        <v>0</v>
      </c>
      <c r="L14" s="373">
        <f t="shared" si="2"/>
        <v>0</v>
      </c>
      <c r="M14" s="373">
        <v>0</v>
      </c>
      <c r="N14" s="373">
        <f t="shared" si="1"/>
        <v>0</v>
      </c>
    </row>
    <row r="15" spans="1:14" s="179" customFormat="1" ht="18" customHeight="1">
      <c r="A15" s="155" t="s">
        <v>114</v>
      </c>
      <c r="B15" s="155" t="s">
        <v>11</v>
      </c>
      <c r="C15" s="373">
        <v>0</v>
      </c>
      <c r="D15" s="373">
        <v>0</v>
      </c>
      <c r="E15" s="373">
        <v>0</v>
      </c>
      <c r="F15" s="373">
        <v>0</v>
      </c>
      <c r="G15" s="373">
        <v>0</v>
      </c>
      <c r="H15" s="373">
        <v>0</v>
      </c>
      <c r="I15" s="373">
        <v>0</v>
      </c>
      <c r="J15" s="373">
        <v>0</v>
      </c>
      <c r="K15" s="373">
        <v>1751233</v>
      </c>
      <c r="L15" s="373">
        <f t="shared" si="2"/>
        <v>1751233</v>
      </c>
      <c r="M15" s="373">
        <v>0</v>
      </c>
      <c r="N15" s="373">
        <f t="shared" si="1"/>
        <v>1751233</v>
      </c>
    </row>
    <row r="16" spans="1:14" s="179" customFormat="1" ht="18" customHeight="1">
      <c r="A16" s="155" t="s">
        <v>115</v>
      </c>
      <c r="B16" s="155" t="s">
        <v>192</v>
      </c>
      <c r="C16" s="373">
        <v>0</v>
      </c>
      <c r="D16" s="373">
        <v>0</v>
      </c>
      <c r="E16" s="373">
        <v>159512</v>
      </c>
      <c r="F16" s="373">
        <v>0</v>
      </c>
      <c r="G16" s="373">
        <v>0</v>
      </c>
      <c r="H16" s="373">
        <v>0</v>
      </c>
      <c r="I16" s="373">
        <v>0</v>
      </c>
      <c r="J16" s="373">
        <v>0</v>
      </c>
      <c r="K16" s="373">
        <v>0</v>
      </c>
      <c r="L16" s="373">
        <f t="shared" si="2"/>
        <v>159512</v>
      </c>
      <c r="M16" s="373">
        <v>0</v>
      </c>
      <c r="N16" s="373">
        <f t="shared" si="1"/>
        <v>159512</v>
      </c>
    </row>
    <row r="17" spans="1:14" s="179" customFormat="1" ht="18" customHeight="1">
      <c r="A17" s="155" t="s">
        <v>116</v>
      </c>
      <c r="B17" s="155" t="s">
        <v>193</v>
      </c>
      <c r="C17" s="373">
        <v>0</v>
      </c>
      <c r="D17" s="373">
        <v>0</v>
      </c>
      <c r="E17" s="373">
        <v>0</v>
      </c>
      <c r="F17" s="373">
        <v>0</v>
      </c>
      <c r="G17" s="373">
        <v>0</v>
      </c>
      <c r="H17" s="373">
        <v>0</v>
      </c>
      <c r="I17" s="373">
        <v>0</v>
      </c>
      <c r="J17" s="373">
        <v>0</v>
      </c>
      <c r="K17" s="373">
        <v>0</v>
      </c>
      <c r="L17" s="373">
        <f t="shared" si="2"/>
        <v>0</v>
      </c>
      <c r="M17" s="373">
        <v>0</v>
      </c>
      <c r="N17" s="373">
        <f t="shared" si="1"/>
        <v>0</v>
      </c>
    </row>
    <row r="18" spans="1:14" s="179" customFormat="1" ht="18" customHeight="1">
      <c r="A18" s="155" t="s">
        <v>117</v>
      </c>
      <c r="B18" s="155" t="s">
        <v>194</v>
      </c>
      <c r="C18" s="373">
        <v>-9193853</v>
      </c>
      <c r="D18" s="373">
        <v>0</v>
      </c>
      <c r="E18" s="373">
        <v>0</v>
      </c>
      <c r="F18" s="373">
        <v>0</v>
      </c>
      <c r="G18" s="373">
        <v>0</v>
      </c>
      <c r="H18" s="373">
        <v>0</v>
      </c>
      <c r="I18" s="373">
        <v>0</v>
      </c>
      <c r="J18" s="373">
        <v>0</v>
      </c>
      <c r="K18" s="373">
        <v>0</v>
      </c>
      <c r="L18" s="373">
        <f t="shared" si="2"/>
        <v>0</v>
      </c>
      <c r="M18" s="373">
        <v>0</v>
      </c>
      <c r="N18" s="373">
        <f t="shared" si="1"/>
        <v>-9193853</v>
      </c>
    </row>
    <row r="19" spans="1:14" s="179" customFormat="1" ht="18" customHeight="1">
      <c r="A19" s="155" t="s">
        <v>118</v>
      </c>
      <c r="B19" s="155" t="s">
        <v>195</v>
      </c>
      <c r="C19" s="373">
        <v>166655</v>
      </c>
      <c r="D19" s="373">
        <v>0</v>
      </c>
      <c r="E19" s="373">
        <v>0</v>
      </c>
      <c r="F19" s="373">
        <v>0</v>
      </c>
      <c r="G19" s="373">
        <v>0</v>
      </c>
      <c r="H19" s="373">
        <v>0</v>
      </c>
      <c r="I19" s="373">
        <v>0</v>
      </c>
      <c r="J19" s="373">
        <v>0</v>
      </c>
      <c r="K19" s="373">
        <v>0</v>
      </c>
      <c r="L19" s="373">
        <f t="shared" si="2"/>
        <v>0</v>
      </c>
      <c r="M19" s="373">
        <v>0</v>
      </c>
      <c r="N19" s="373">
        <f t="shared" si="1"/>
        <v>166655</v>
      </c>
    </row>
    <row r="20" spans="1:14" s="179" customFormat="1" ht="18" customHeight="1">
      <c r="A20" s="155" t="s">
        <v>119</v>
      </c>
      <c r="B20" s="155" t="s">
        <v>196</v>
      </c>
      <c r="C20" s="373">
        <v>630809</v>
      </c>
      <c r="D20" s="373">
        <v>0</v>
      </c>
      <c r="E20" s="373">
        <v>0</v>
      </c>
      <c r="F20" s="373">
        <v>0</v>
      </c>
      <c r="G20" s="373">
        <v>0</v>
      </c>
      <c r="H20" s="373">
        <v>0</v>
      </c>
      <c r="I20" s="373">
        <v>0</v>
      </c>
      <c r="J20" s="373">
        <v>0</v>
      </c>
      <c r="K20" s="373">
        <v>0</v>
      </c>
      <c r="L20" s="373">
        <f t="shared" si="2"/>
        <v>0</v>
      </c>
      <c r="M20" s="373">
        <v>0</v>
      </c>
      <c r="N20" s="373">
        <f t="shared" si="1"/>
        <v>630809</v>
      </c>
    </row>
    <row r="21" spans="1:14" s="179" customFormat="1" ht="18" customHeight="1">
      <c r="A21" s="155" t="s">
        <v>120</v>
      </c>
      <c r="B21" s="155" t="s">
        <v>218</v>
      </c>
      <c r="C21" s="373">
        <v>0</v>
      </c>
      <c r="D21" s="373">
        <v>0</v>
      </c>
      <c r="E21" s="373">
        <v>0</v>
      </c>
      <c r="F21" s="373">
        <v>0</v>
      </c>
      <c r="G21" s="373">
        <v>0</v>
      </c>
      <c r="H21" s="373">
        <v>0</v>
      </c>
      <c r="I21" s="373">
        <v>0</v>
      </c>
      <c r="J21" s="373">
        <v>0</v>
      </c>
      <c r="K21" s="373">
        <v>0</v>
      </c>
      <c r="L21" s="373">
        <f t="shared" si="2"/>
        <v>0</v>
      </c>
      <c r="M21" s="373">
        <v>0</v>
      </c>
      <c r="N21" s="373">
        <f t="shared" si="1"/>
        <v>0</v>
      </c>
    </row>
    <row r="22" spans="1:14" s="179" customFormat="1" ht="18" customHeight="1">
      <c r="A22" s="537" t="s">
        <v>361</v>
      </c>
      <c r="B22" s="538"/>
      <c r="C22" s="374">
        <f t="shared" ref="C22:N22" si="3">SUM(C10:C21)</f>
        <v>-6123902</v>
      </c>
      <c r="D22" s="374">
        <f t="shared" si="3"/>
        <v>0</v>
      </c>
      <c r="E22" s="374">
        <f t="shared" si="3"/>
        <v>159512</v>
      </c>
      <c r="F22" s="374">
        <f t="shared" si="3"/>
        <v>0</v>
      </c>
      <c r="G22" s="374">
        <f t="shared" si="3"/>
        <v>0</v>
      </c>
      <c r="H22" s="374">
        <f t="shared" si="3"/>
        <v>0</v>
      </c>
      <c r="I22" s="374">
        <f t="shared" si="3"/>
        <v>0</v>
      </c>
      <c r="J22" s="374">
        <f t="shared" ref="J22" si="4">SUM(J10:J21)</f>
        <v>0</v>
      </c>
      <c r="K22" s="374">
        <f t="shared" si="3"/>
        <v>2361245</v>
      </c>
      <c r="L22" s="374">
        <f>SUM(L10:L21)</f>
        <v>2520757</v>
      </c>
      <c r="M22" s="374">
        <f t="shared" si="3"/>
        <v>65501</v>
      </c>
      <c r="N22" s="374">
        <f t="shared" si="3"/>
        <v>-3537644</v>
      </c>
    </row>
    <row r="23" spans="1:14" s="179" customFormat="1" ht="18" customHeight="1">
      <c r="A23" s="155" t="s">
        <v>30</v>
      </c>
      <c r="B23" s="155" t="s">
        <v>14</v>
      </c>
      <c r="C23" s="373">
        <v>-496572</v>
      </c>
      <c r="D23" s="373">
        <v>0</v>
      </c>
      <c r="E23" s="373">
        <v>0</v>
      </c>
      <c r="F23" s="373">
        <v>0</v>
      </c>
      <c r="G23" s="373">
        <v>0</v>
      </c>
      <c r="H23" s="373">
        <v>0</v>
      </c>
      <c r="I23" s="373">
        <v>0</v>
      </c>
      <c r="J23" s="373">
        <v>0</v>
      </c>
      <c r="K23" s="373">
        <v>0</v>
      </c>
      <c r="L23" s="373">
        <f t="shared" ref="L23:L28" si="5">SUM(E23:K23)</f>
        <v>0</v>
      </c>
      <c r="M23" s="373">
        <v>0</v>
      </c>
      <c r="N23" s="373">
        <f t="shared" ref="N23:N28" si="6">SUM(C23,D23,L23,M23)</f>
        <v>-496572</v>
      </c>
    </row>
    <row r="24" spans="1:14" s="179" customFormat="1" ht="18" customHeight="1">
      <c r="A24" s="155" t="s">
        <v>121</v>
      </c>
      <c r="B24" s="155" t="s">
        <v>15</v>
      </c>
      <c r="C24" s="373">
        <v>-297083</v>
      </c>
      <c r="D24" s="373">
        <v>0</v>
      </c>
      <c r="E24" s="373">
        <v>0</v>
      </c>
      <c r="F24" s="373">
        <v>0</v>
      </c>
      <c r="G24" s="373">
        <v>0</v>
      </c>
      <c r="H24" s="373">
        <v>0</v>
      </c>
      <c r="I24" s="373">
        <v>0</v>
      </c>
      <c r="J24" s="373">
        <v>0</v>
      </c>
      <c r="K24" s="373">
        <v>0</v>
      </c>
      <c r="L24" s="373">
        <f t="shared" si="5"/>
        <v>0</v>
      </c>
      <c r="M24" s="373">
        <v>0</v>
      </c>
      <c r="N24" s="373">
        <f t="shared" si="6"/>
        <v>-297083</v>
      </c>
    </row>
    <row r="25" spans="1:14" s="179" customFormat="1" ht="18" customHeight="1">
      <c r="A25" s="155" t="s">
        <v>122</v>
      </c>
      <c r="B25" s="155" t="s">
        <v>16</v>
      </c>
      <c r="C25" s="373">
        <v>0</v>
      </c>
      <c r="D25" s="373">
        <v>0</v>
      </c>
      <c r="E25" s="373">
        <v>0</v>
      </c>
      <c r="F25" s="373">
        <v>0</v>
      </c>
      <c r="G25" s="373">
        <v>0</v>
      </c>
      <c r="H25" s="373">
        <v>0</v>
      </c>
      <c r="I25" s="373">
        <v>0</v>
      </c>
      <c r="J25" s="373">
        <v>0</v>
      </c>
      <c r="K25" s="373">
        <v>0</v>
      </c>
      <c r="L25" s="373">
        <f t="shared" si="5"/>
        <v>0</v>
      </c>
      <c r="M25" s="373">
        <v>0</v>
      </c>
      <c r="N25" s="373">
        <f t="shared" si="6"/>
        <v>0</v>
      </c>
    </row>
    <row r="26" spans="1:14" s="179" customFormat="1" ht="18" customHeight="1">
      <c r="A26" s="155" t="s">
        <v>104</v>
      </c>
      <c r="B26" s="155" t="s">
        <v>17</v>
      </c>
      <c r="C26" s="373">
        <v>0</v>
      </c>
      <c r="D26" s="373">
        <v>0</v>
      </c>
      <c r="E26" s="373">
        <v>0</v>
      </c>
      <c r="F26" s="373">
        <v>0</v>
      </c>
      <c r="G26" s="373">
        <v>0</v>
      </c>
      <c r="H26" s="373">
        <v>0</v>
      </c>
      <c r="I26" s="373">
        <v>0</v>
      </c>
      <c r="J26" s="373">
        <v>0</v>
      </c>
      <c r="K26" s="373">
        <v>0</v>
      </c>
      <c r="L26" s="373">
        <f t="shared" si="5"/>
        <v>0</v>
      </c>
      <c r="M26" s="373">
        <v>0</v>
      </c>
      <c r="N26" s="373">
        <f t="shared" si="6"/>
        <v>0</v>
      </c>
    </row>
    <row r="27" spans="1:14" s="179" customFormat="1" ht="18" customHeight="1">
      <c r="A27" s="155" t="s">
        <v>105</v>
      </c>
      <c r="B27" s="155" t="s">
        <v>158</v>
      </c>
      <c r="C27" s="373">
        <v>201059</v>
      </c>
      <c r="D27" s="373">
        <v>0</v>
      </c>
      <c r="E27" s="373">
        <v>0</v>
      </c>
      <c r="F27" s="373">
        <v>0</v>
      </c>
      <c r="G27" s="373">
        <v>0</v>
      </c>
      <c r="H27" s="373">
        <v>0</v>
      </c>
      <c r="I27" s="373">
        <v>0</v>
      </c>
      <c r="J27" s="373">
        <v>400000</v>
      </c>
      <c r="K27" s="373">
        <v>0</v>
      </c>
      <c r="L27" s="373">
        <f t="shared" si="5"/>
        <v>400000</v>
      </c>
      <c r="M27" s="373">
        <v>0</v>
      </c>
      <c r="N27" s="373">
        <f t="shared" si="6"/>
        <v>601059</v>
      </c>
    </row>
    <row r="28" spans="1:14" s="179" customFormat="1" ht="18" customHeight="1">
      <c r="A28" s="155" t="s">
        <v>123</v>
      </c>
      <c r="B28" s="155" t="s">
        <v>159</v>
      </c>
      <c r="C28" s="373">
        <v>1150000</v>
      </c>
      <c r="D28" s="373">
        <v>0</v>
      </c>
      <c r="E28" s="373">
        <v>0</v>
      </c>
      <c r="F28" s="373">
        <v>0</v>
      </c>
      <c r="G28" s="373">
        <v>0</v>
      </c>
      <c r="H28" s="373">
        <v>0</v>
      </c>
      <c r="I28" s="373">
        <v>0</v>
      </c>
      <c r="J28" s="373">
        <v>0</v>
      </c>
      <c r="K28" s="373">
        <v>0</v>
      </c>
      <c r="L28" s="373">
        <f t="shared" si="5"/>
        <v>0</v>
      </c>
      <c r="M28" s="373">
        <v>0</v>
      </c>
      <c r="N28" s="373">
        <f t="shared" si="6"/>
        <v>1150000</v>
      </c>
    </row>
    <row r="29" spans="1:14" s="179" customFormat="1" ht="18" customHeight="1">
      <c r="A29" s="537" t="s">
        <v>362</v>
      </c>
      <c r="B29" s="538"/>
      <c r="C29" s="374">
        <f>SUM(C23:C28)</f>
        <v>557404</v>
      </c>
      <c r="D29" s="374">
        <f t="shared" ref="D29:N29" si="7">SUM(D23:D28)</f>
        <v>0</v>
      </c>
      <c r="E29" s="374">
        <f t="shared" si="7"/>
        <v>0</v>
      </c>
      <c r="F29" s="374">
        <f t="shared" si="7"/>
        <v>0</v>
      </c>
      <c r="G29" s="374">
        <f t="shared" si="7"/>
        <v>0</v>
      </c>
      <c r="H29" s="374">
        <f t="shared" si="7"/>
        <v>0</v>
      </c>
      <c r="I29" s="374">
        <f t="shared" si="7"/>
        <v>0</v>
      </c>
      <c r="J29" s="374">
        <f t="shared" ref="J29" si="8">SUM(J23:J28)</f>
        <v>400000</v>
      </c>
      <c r="K29" s="374">
        <f t="shared" si="7"/>
        <v>0</v>
      </c>
      <c r="L29" s="374">
        <f t="shared" si="7"/>
        <v>400000</v>
      </c>
      <c r="M29" s="374">
        <f t="shared" si="7"/>
        <v>0</v>
      </c>
      <c r="N29" s="374">
        <f t="shared" si="7"/>
        <v>957404</v>
      </c>
    </row>
    <row r="30" spans="1:14" s="179" customFormat="1" ht="18" customHeight="1">
      <c r="A30" s="155" t="s">
        <v>106</v>
      </c>
      <c r="B30" s="155" t="s">
        <v>18</v>
      </c>
      <c r="C30" s="373">
        <v>500000</v>
      </c>
      <c r="D30" s="373">
        <v>0</v>
      </c>
      <c r="E30" s="373">
        <v>0</v>
      </c>
      <c r="F30" s="373">
        <v>0</v>
      </c>
      <c r="G30" s="373">
        <v>0</v>
      </c>
      <c r="H30" s="373">
        <v>0</v>
      </c>
      <c r="I30" s="373">
        <v>0</v>
      </c>
      <c r="J30" s="373">
        <v>0</v>
      </c>
      <c r="K30" s="373">
        <v>0</v>
      </c>
      <c r="L30" s="373">
        <f>SUM(E30:K30)</f>
        <v>0</v>
      </c>
      <c r="M30" s="373">
        <v>0</v>
      </c>
      <c r="N30" s="373">
        <f t="shared" ref="N30:N39" si="9">SUM(C30,D30,L30,M30)</f>
        <v>500000</v>
      </c>
    </row>
    <row r="31" spans="1:14" s="179" customFormat="1" ht="18" customHeight="1">
      <c r="A31" s="155" t="s">
        <v>107</v>
      </c>
      <c r="B31" s="155" t="s">
        <v>124</v>
      </c>
      <c r="C31" s="373">
        <v>69651</v>
      </c>
      <c r="D31" s="373">
        <v>0</v>
      </c>
      <c r="E31" s="373">
        <v>0</v>
      </c>
      <c r="F31" s="373">
        <v>0</v>
      </c>
      <c r="G31" s="373">
        <v>0</v>
      </c>
      <c r="H31" s="373">
        <v>0</v>
      </c>
      <c r="I31" s="373">
        <v>0</v>
      </c>
      <c r="J31" s="373">
        <v>0</v>
      </c>
      <c r="K31" s="373">
        <v>0</v>
      </c>
      <c r="L31" s="373">
        <f>SUM(E31:K31)</f>
        <v>0</v>
      </c>
      <c r="M31" s="373">
        <v>0</v>
      </c>
      <c r="N31" s="373">
        <f t="shared" si="9"/>
        <v>69651</v>
      </c>
    </row>
    <row r="32" spans="1:14" s="179" customFormat="1" ht="18" customHeight="1">
      <c r="A32" s="155" t="s">
        <v>108</v>
      </c>
      <c r="B32" s="145" t="s">
        <v>198</v>
      </c>
      <c r="C32" s="373">
        <v>55763</v>
      </c>
      <c r="D32" s="373">
        <v>0</v>
      </c>
      <c r="E32" s="373">
        <v>0</v>
      </c>
      <c r="F32" s="373">
        <v>0</v>
      </c>
      <c r="G32" s="373">
        <v>0</v>
      </c>
      <c r="H32" s="373">
        <v>0</v>
      </c>
      <c r="I32" s="373">
        <v>0</v>
      </c>
      <c r="J32" s="373">
        <v>0</v>
      </c>
      <c r="K32" s="373">
        <v>0</v>
      </c>
      <c r="L32" s="373">
        <f>SUM(E32:K32)</f>
        <v>0</v>
      </c>
      <c r="M32" s="373">
        <v>0</v>
      </c>
      <c r="N32" s="373">
        <f t="shared" si="9"/>
        <v>55763</v>
      </c>
    </row>
    <row r="33" spans="1:14" s="375" customFormat="1" ht="18" customHeight="1">
      <c r="A33" s="537" t="s">
        <v>363</v>
      </c>
      <c r="B33" s="538"/>
      <c r="C33" s="374">
        <f>SUM(C30:C32)</f>
        <v>625414</v>
      </c>
      <c r="D33" s="374">
        <f t="shared" ref="D33:N33" si="10">SUM(D30:D32)</f>
        <v>0</v>
      </c>
      <c r="E33" s="374">
        <f t="shared" si="10"/>
        <v>0</v>
      </c>
      <c r="F33" s="374">
        <f t="shared" si="10"/>
        <v>0</v>
      </c>
      <c r="G33" s="374">
        <f t="shared" si="10"/>
        <v>0</v>
      </c>
      <c r="H33" s="374">
        <f t="shared" si="10"/>
        <v>0</v>
      </c>
      <c r="I33" s="374">
        <f t="shared" si="10"/>
        <v>0</v>
      </c>
      <c r="J33" s="374">
        <f t="shared" ref="J33" si="11">SUM(J30:J32)</f>
        <v>0</v>
      </c>
      <c r="K33" s="374">
        <f t="shared" si="10"/>
        <v>0</v>
      </c>
      <c r="L33" s="374">
        <f t="shared" si="10"/>
        <v>0</v>
      </c>
      <c r="M33" s="374">
        <f t="shared" si="10"/>
        <v>0</v>
      </c>
      <c r="N33" s="374">
        <f t="shared" si="10"/>
        <v>625414</v>
      </c>
    </row>
    <row r="34" spans="1:14" s="375" customFormat="1" ht="18" customHeight="1">
      <c r="A34" s="169" t="s">
        <v>109</v>
      </c>
      <c r="B34" s="376" t="s">
        <v>19</v>
      </c>
      <c r="C34" s="373">
        <v>221796</v>
      </c>
      <c r="D34" s="373">
        <v>0</v>
      </c>
      <c r="E34" s="373">
        <v>0</v>
      </c>
      <c r="F34" s="373">
        <v>0</v>
      </c>
      <c r="G34" s="373">
        <v>0</v>
      </c>
      <c r="H34" s="373">
        <v>0</v>
      </c>
      <c r="I34" s="373">
        <v>0</v>
      </c>
      <c r="J34" s="373">
        <v>0</v>
      </c>
      <c r="K34" s="373">
        <v>0</v>
      </c>
      <c r="L34" s="373">
        <f>SUM(E34:K34)</f>
        <v>0</v>
      </c>
      <c r="M34" s="373">
        <v>78528</v>
      </c>
      <c r="N34" s="373">
        <f t="shared" si="9"/>
        <v>300324</v>
      </c>
    </row>
    <row r="35" spans="1:14" s="375" customFormat="1" ht="18" customHeight="1">
      <c r="A35" s="537" t="s">
        <v>364</v>
      </c>
      <c r="B35" s="538"/>
      <c r="C35" s="374">
        <f>C34</f>
        <v>221796</v>
      </c>
      <c r="D35" s="374">
        <f t="shared" ref="D35:N35" si="12">D34</f>
        <v>0</v>
      </c>
      <c r="E35" s="374">
        <f t="shared" si="12"/>
        <v>0</v>
      </c>
      <c r="F35" s="374">
        <f t="shared" si="12"/>
        <v>0</v>
      </c>
      <c r="G35" s="374">
        <f t="shared" si="12"/>
        <v>0</v>
      </c>
      <c r="H35" s="374">
        <f t="shared" si="12"/>
        <v>0</v>
      </c>
      <c r="I35" s="374">
        <f t="shared" si="12"/>
        <v>0</v>
      </c>
      <c r="J35" s="374">
        <f t="shared" ref="J35" si="13">J34</f>
        <v>0</v>
      </c>
      <c r="K35" s="374">
        <f t="shared" si="12"/>
        <v>0</v>
      </c>
      <c r="L35" s="374">
        <f t="shared" si="12"/>
        <v>0</v>
      </c>
      <c r="M35" s="374">
        <f t="shared" si="12"/>
        <v>78528</v>
      </c>
      <c r="N35" s="374">
        <f t="shared" si="12"/>
        <v>300324</v>
      </c>
    </row>
    <row r="36" spans="1:14" s="179" customFormat="1" ht="18" customHeight="1">
      <c r="A36" s="154" t="s">
        <v>110</v>
      </c>
      <c r="B36" s="157" t="s">
        <v>20</v>
      </c>
      <c r="C36" s="373">
        <v>290000</v>
      </c>
      <c r="D36" s="373">
        <v>0</v>
      </c>
      <c r="E36" s="373">
        <v>0</v>
      </c>
      <c r="F36" s="373">
        <v>0</v>
      </c>
      <c r="G36" s="373">
        <v>0</v>
      </c>
      <c r="H36" s="373">
        <v>0</v>
      </c>
      <c r="I36" s="373">
        <v>0</v>
      </c>
      <c r="J36" s="373">
        <v>0</v>
      </c>
      <c r="K36" s="373">
        <v>0</v>
      </c>
      <c r="L36" s="373">
        <f>SUM(E36:K36)</f>
        <v>0</v>
      </c>
      <c r="M36" s="373">
        <v>0</v>
      </c>
      <c r="N36" s="373">
        <f t="shared" si="9"/>
        <v>290000</v>
      </c>
    </row>
    <row r="37" spans="1:14" s="179" customFormat="1" ht="18" customHeight="1">
      <c r="A37" s="154" t="s">
        <v>111</v>
      </c>
      <c r="B37" s="157" t="s">
        <v>21</v>
      </c>
      <c r="C37" s="373">
        <v>500000</v>
      </c>
      <c r="D37" s="373">
        <v>0</v>
      </c>
      <c r="E37" s="373">
        <v>0</v>
      </c>
      <c r="F37" s="373">
        <v>0</v>
      </c>
      <c r="G37" s="373">
        <v>0</v>
      </c>
      <c r="H37" s="373">
        <v>0</v>
      </c>
      <c r="I37" s="373">
        <v>0</v>
      </c>
      <c r="J37" s="373">
        <v>0</v>
      </c>
      <c r="K37" s="373">
        <v>0</v>
      </c>
      <c r="L37" s="373">
        <f>SUM(E37:K37)</f>
        <v>0</v>
      </c>
      <c r="M37" s="373">
        <v>5267</v>
      </c>
      <c r="N37" s="373">
        <f t="shared" si="9"/>
        <v>505267</v>
      </c>
    </row>
    <row r="38" spans="1:14" s="179" customFormat="1" ht="18" customHeight="1">
      <c r="A38" s="154" t="s">
        <v>112</v>
      </c>
      <c r="B38" s="157" t="s">
        <v>22</v>
      </c>
      <c r="C38" s="373">
        <v>207391</v>
      </c>
      <c r="D38" s="373">
        <v>0</v>
      </c>
      <c r="E38" s="373">
        <v>193312</v>
      </c>
      <c r="F38" s="373">
        <v>0</v>
      </c>
      <c r="G38" s="373">
        <v>0</v>
      </c>
      <c r="H38" s="373">
        <v>0</v>
      </c>
      <c r="I38" s="373">
        <v>0</v>
      </c>
      <c r="J38" s="373">
        <v>0</v>
      </c>
      <c r="K38" s="373">
        <v>248</v>
      </c>
      <c r="L38" s="373">
        <f>SUM(E38:K38)</f>
        <v>193560</v>
      </c>
      <c r="M38" s="373">
        <v>0</v>
      </c>
      <c r="N38" s="373">
        <f t="shared" si="9"/>
        <v>400951</v>
      </c>
    </row>
    <row r="39" spans="1:14" s="179" customFormat="1" ht="18" customHeight="1">
      <c r="A39" s="154" t="s">
        <v>113</v>
      </c>
      <c r="B39" s="157" t="s">
        <v>23</v>
      </c>
      <c r="C39" s="373">
        <v>1608083</v>
      </c>
      <c r="D39" s="373">
        <v>0</v>
      </c>
      <c r="E39" s="373">
        <v>0</v>
      </c>
      <c r="F39" s="373">
        <v>0</v>
      </c>
      <c r="G39" s="373">
        <v>0</v>
      </c>
      <c r="H39" s="373">
        <v>0</v>
      </c>
      <c r="I39" s="373">
        <v>0</v>
      </c>
      <c r="J39" s="373">
        <v>0</v>
      </c>
      <c r="K39" s="373">
        <v>0</v>
      </c>
      <c r="L39" s="373">
        <f>SUM(E39:K39)</f>
        <v>0</v>
      </c>
      <c r="M39" s="373">
        <v>0</v>
      </c>
      <c r="N39" s="373">
        <f t="shared" si="9"/>
        <v>1608083</v>
      </c>
    </row>
    <row r="40" spans="1:14" s="375" customFormat="1" ht="18" customHeight="1">
      <c r="A40" s="537" t="s">
        <v>365</v>
      </c>
      <c r="B40" s="538"/>
      <c r="C40" s="374">
        <f t="shared" ref="C40:N40" si="14">SUM(C36:C39)</f>
        <v>2605474</v>
      </c>
      <c r="D40" s="374">
        <f t="shared" si="14"/>
        <v>0</v>
      </c>
      <c r="E40" s="374">
        <f t="shared" si="14"/>
        <v>193312</v>
      </c>
      <c r="F40" s="374">
        <f t="shared" si="14"/>
        <v>0</v>
      </c>
      <c r="G40" s="374">
        <f t="shared" si="14"/>
        <v>0</v>
      </c>
      <c r="H40" s="374">
        <f t="shared" si="14"/>
        <v>0</v>
      </c>
      <c r="I40" s="374">
        <f t="shared" si="14"/>
        <v>0</v>
      </c>
      <c r="J40" s="374">
        <f t="shared" ref="J40" si="15">SUM(J36:J39)</f>
        <v>0</v>
      </c>
      <c r="K40" s="374">
        <f t="shared" si="14"/>
        <v>248</v>
      </c>
      <c r="L40" s="374">
        <f t="shared" si="14"/>
        <v>193560</v>
      </c>
      <c r="M40" s="374">
        <f t="shared" si="14"/>
        <v>5267</v>
      </c>
      <c r="N40" s="374">
        <f t="shared" si="14"/>
        <v>2804301</v>
      </c>
    </row>
    <row r="41" spans="1:14" s="179" customFormat="1" ht="18" customHeight="1">
      <c r="A41" s="377" t="s">
        <v>199</v>
      </c>
      <c r="B41" s="155" t="s">
        <v>125</v>
      </c>
      <c r="C41" s="373">
        <v>27275177</v>
      </c>
      <c r="D41" s="373">
        <v>0</v>
      </c>
      <c r="E41" s="373">
        <v>1100505</v>
      </c>
      <c r="F41" s="373">
        <v>0</v>
      </c>
      <c r="G41" s="373">
        <v>0</v>
      </c>
      <c r="H41" s="373">
        <v>0</v>
      </c>
      <c r="I41" s="373">
        <v>0</v>
      </c>
      <c r="J41" s="373">
        <v>0</v>
      </c>
      <c r="K41" s="373">
        <v>0</v>
      </c>
      <c r="L41" s="373">
        <f>SUM(E41:K41)</f>
        <v>1100505</v>
      </c>
      <c r="M41" s="373">
        <v>0</v>
      </c>
      <c r="N41" s="373">
        <f>SUM(C41,D41,L41,M41)</f>
        <v>28375682</v>
      </c>
    </row>
    <row r="42" spans="1:14" s="375" customFormat="1" ht="18" customHeight="1">
      <c r="A42" s="537" t="s">
        <v>366</v>
      </c>
      <c r="B42" s="538"/>
      <c r="C42" s="374">
        <f t="shared" ref="C42:N42" si="16">SUM(C41)</f>
        <v>27275177</v>
      </c>
      <c r="D42" s="374">
        <f t="shared" si="16"/>
        <v>0</v>
      </c>
      <c r="E42" s="374">
        <f t="shared" si="16"/>
        <v>1100505</v>
      </c>
      <c r="F42" s="374">
        <f t="shared" si="16"/>
        <v>0</v>
      </c>
      <c r="G42" s="374">
        <f t="shared" si="16"/>
        <v>0</v>
      </c>
      <c r="H42" s="374">
        <f t="shared" si="16"/>
        <v>0</v>
      </c>
      <c r="I42" s="374">
        <f t="shared" si="16"/>
        <v>0</v>
      </c>
      <c r="J42" s="374">
        <f t="shared" si="16"/>
        <v>0</v>
      </c>
      <c r="K42" s="374">
        <f t="shared" si="16"/>
        <v>0</v>
      </c>
      <c r="L42" s="374">
        <f t="shared" si="16"/>
        <v>1100505</v>
      </c>
      <c r="M42" s="374">
        <f t="shared" si="16"/>
        <v>0</v>
      </c>
      <c r="N42" s="374">
        <f t="shared" si="16"/>
        <v>28375682</v>
      </c>
    </row>
    <row r="43" spans="1:14" s="375" customFormat="1" ht="6.75" customHeight="1">
      <c r="A43" s="167"/>
      <c r="B43" s="167"/>
      <c r="C43" s="378"/>
      <c r="D43" s="378"/>
      <c r="E43" s="378"/>
      <c r="F43" s="378"/>
      <c r="G43" s="378"/>
      <c r="H43" s="378"/>
      <c r="I43" s="378"/>
      <c r="J43" s="378"/>
      <c r="K43" s="378"/>
      <c r="L43" s="378"/>
      <c r="M43" s="378"/>
      <c r="N43" s="378"/>
    </row>
    <row r="44" spans="1:14" s="375" customFormat="1" ht="18" customHeight="1" thickBot="1">
      <c r="A44" s="379" t="s">
        <v>367</v>
      </c>
      <c r="B44" s="379"/>
      <c r="C44" s="380">
        <f t="shared" ref="C44:N44" si="17">SUM(C40,C35,C33,C29,C22,C9,C42)</f>
        <v>25161363</v>
      </c>
      <c r="D44" s="380">
        <f t="shared" si="17"/>
        <v>0</v>
      </c>
      <c r="E44" s="380">
        <f t="shared" si="17"/>
        <v>1453329</v>
      </c>
      <c r="F44" s="380">
        <f t="shared" si="17"/>
        <v>0</v>
      </c>
      <c r="G44" s="380">
        <f t="shared" si="17"/>
        <v>0</v>
      </c>
      <c r="H44" s="380">
        <f t="shared" si="17"/>
        <v>0</v>
      </c>
      <c r="I44" s="380">
        <f t="shared" si="17"/>
        <v>0</v>
      </c>
      <c r="J44" s="380">
        <f t="shared" si="17"/>
        <v>400000</v>
      </c>
      <c r="K44" s="380">
        <f t="shared" si="17"/>
        <v>2361493</v>
      </c>
      <c r="L44" s="380">
        <f t="shared" si="17"/>
        <v>4214822</v>
      </c>
      <c r="M44" s="380">
        <f t="shared" si="17"/>
        <v>149296</v>
      </c>
      <c r="N44" s="380">
        <f t="shared" si="17"/>
        <v>29525481</v>
      </c>
    </row>
    <row r="45" spans="1:14" ht="16.8" thickTop="1">
      <c r="A45" s="381" t="s">
        <v>148</v>
      </c>
      <c r="B45" s="364"/>
    </row>
    <row r="46" spans="1:14">
      <c r="A46" s="364"/>
      <c r="B46" s="364"/>
    </row>
    <row r="47" spans="1:14">
      <c r="A47" s="364"/>
      <c r="B47" s="364"/>
    </row>
    <row r="48" spans="1:14">
      <c r="A48" s="364"/>
      <c r="B48" s="364"/>
    </row>
    <row r="49" spans="1:13">
      <c r="A49" s="364"/>
      <c r="B49" s="364"/>
    </row>
    <row r="50" spans="1:13">
      <c r="A50" s="364"/>
      <c r="B50" s="364"/>
    </row>
    <row r="51" spans="1:13">
      <c r="A51" s="364"/>
      <c r="B51" s="364"/>
    </row>
    <row r="52" spans="1:13">
      <c r="A52" s="364"/>
      <c r="B52" s="364"/>
    </row>
    <row r="57" spans="1:13">
      <c r="M57" s="211"/>
    </row>
  </sheetData>
  <mergeCells count="8">
    <mergeCell ref="E5:L5"/>
    <mergeCell ref="A9:B9"/>
    <mergeCell ref="A35:B35"/>
    <mergeCell ref="A42:B42"/>
    <mergeCell ref="A40:B40"/>
    <mergeCell ref="A22:B22"/>
    <mergeCell ref="A33:B33"/>
    <mergeCell ref="A29:B29"/>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33"/>
  <sheetViews>
    <sheetView zoomScale="85" zoomScaleNormal="85" zoomScaleSheetLayoutView="85" workbookViewId="0">
      <selection activeCell="O15" sqref="O15"/>
    </sheetView>
  </sheetViews>
  <sheetFormatPr defaultColWidth="9.21875" defaultRowHeight="13.2"/>
  <cols>
    <col min="1" max="1" width="70.77734375" style="445" bestFit="1" customWidth="1"/>
    <col min="2" max="2" width="11.109375" style="445" hidden="1" customWidth="1"/>
    <col min="3" max="3" width="11.44140625" style="445" hidden="1" customWidth="1"/>
    <col min="4" max="4" width="11.77734375" style="445" hidden="1" customWidth="1"/>
    <col min="5" max="5" width="11.6640625" style="445" hidden="1" customWidth="1"/>
    <col min="6" max="6" width="11.33203125" style="445" hidden="1" customWidth="1"/>
    <col min="7" max="7" width="11.6640625" style="445" hidden="1" customWidth="1"/>
    <col min="8" max="8" width="12.109375" style="445" hidden="1" customWidth="1"/>
    <col min="9" max="9" width="11.6640625" style="445" hidden="1" customWidth="1"/>
    <col min="10" max="10" width="12.109375" style="445" hidden="1" customWidth="1"/>
    <col min="11" max="11" width="11.44140625" style="445" hidden="1" customWidth="1"/>
    <col min="12" max="12" width="11.109375" style="445" bestFit="1" customWidth="1"/>
    <col min="13" max="13" width="11.77734375" style="445" hidden="1" customWidth="1"/>
    <col min="14" max="14" width="15.88671875" style="445" bestFit="1" customWidth="1"/>
    <col min="15" max="15" width="31" style="445" customWidth="1"/>
    <col min="16" max="16" width="11.109375" style="445" customWidth="1"/>
    <col min="17" max="17" width="17.6640625" style="445" hidden="1" customWidth="1"/>
    <col min="18" max="18" width="12.77734375" style="445" hidden="1" customWidth="1"/>
    <col min="19" max="19" width="9.109375" style="445" hidden="1" customWidth="1"/>
    <col min="20" max="20" width="11.109375" style="445" hidden="1" customWidth="1"/>
    <col min="21" max="21" width="31" style="445" customWidth="1"/>
    <col min="22" max="24" width="9.21875" style="445" customWidth="1"/>
    <col min="25" max="256" width="9.21875" style="445"/>
    <col min="257" max="257" width="56.77734375" style="445" customWidth="1"/>
    <col min="258" max="258" width="9.6640625" style="445" customWidth="1"/>
    <col min="259" max="269" width="0" style="445" hidden="1" customWidth="1"/>
    <col min="270" max="270" width="14.88671875" style="445" bestFit="1" customWidth="1"/>
    <col min="271" max="276" width="0" style="445" hidden="1" customWidth="1"/>
    <col min="277" max="277" width="31" style="445" customWidth="1"/>
    <col min="278" max="512" width="9.21875" style="445"/>
    <col min="513" max="513" width="56.77734375" style="445" customWidth="1"/>
    <col min="514" max="514" width="9.6640625" style="445" customWidth="1"/>
    <col min="515" max="525" width="0" style="445" hidden="1" customWidth="1"/>
    <col min="526" max="526" width="14.88671875" style="445" bestFit="1" customWidth="1"/>
    <col min="527" max="532" width="0" style="445" hidden="1" customWidth="1"/>
    <col min="533" max="533" width="31" style="445" customWidth="1"/>
    <col min="534" max="768" width="9.21875" style="445"/>
    <col min="769" max="769" width="56.77734375" style="445" customWidth="1"/>
    <col min="770" max="770" width="9.6640625" style="445" customWidth="1"/>
    <col min="771" max="781" width="0" style="445" hidden="1" customWidth="1"/>
    <col min="782" max="782" width="14.88671875" style="445" bestFit="1" customWidth="1"/>
    <col min="783" max="788" width="0" style="445" hidden="1" customWidth="1"/>
    <col min="789" max="789" width="31" style="445" customWidth="1"/>
    <col min="790" max="1024" width="9.21875" style="445"/>
    <col min="1025" max="1025" width="56.77734375" style="445" customWidth="1"/>
    <col min="1026" max="1026" width="9.6640625" style="445" customWidth="1"/>
    <col min="1027" max="1037" width="0" style="445" hidden="1" customWidth="1"/>
    <col min="1038" max="1038" width="14.88671875" style="445" bestFit="1" customWidth="1"/>
    <col min="1039" max="1044" width="0" style="445" hidden="1" customWidth="1"/>
    <col min="1045" max="1045" width="31" style="445" customWidth="1"/>
    <col min="1046" max="1280" width="9.21875" style="445"/>
    <col min="1281" max="1281" width="56.77734375" style="445" customWidth="1"/>
    <col min="1282" max="1282" width="9.6640625" style="445" customWidth="1"/>
    <col min="1283" max="1293" width="0" style="445" hidden="1" customWidth="1"/>
    <col min="1294" max="1294" width="14.88671875" style="445" bestFit="1" customWidth="1"/>
    <col min="1295" max="1300" width="0" style="445" hidden="1" customWidth="1"/>
    <col min="1301" max="1301" width="31" style="445" customWidth="1"/>
    <col min="1302" max="1536" width="9.21875" style="445"/>
    <col min="1537" max="1537" width="56.77734375" style="445" customWidth="1"/>
    <col min="1538" max="1538" width="9.6640625" style="445" customWidth="1"/>
    <col min="1539" max="1549" width="0" style="445" hidden="1" customWidth="1"/>
    <col min="1550" max="1550" width="14.88671875" style="445" bestFit="1" customWidth="1"/>
    <col min="1551" max="1556" width="0" style="445" hidden="1" customWidth="1"/>
    <col min="1557" max="1557" width="31" style="445" customWidth="1"/>
    <col min="1558" max="1792" width="9.21875" style="445"/>
    <col min="1793" max="1793" width="56.77734375" style="445" customWidth="1"/>
    <col min="1794" max="1794" width="9.6640625" style="445" customWidth="1"/>
    <col min="1795" max="1805" width="0" style="445" hidden="1" customWidth="1"/>
    <col min="1806" max="1806" width="14.88671875" style="445" bestFit="1" customWidth="1"/>
    <col min="1807" max="1812" width="0" style="445" hidden="1" customWidth="1"/>
    <col min="1813" max="1813" width="31" style="445" customWidth="1"/>
    <col min="1814" max="2048" width="9.21875" style="445"/>
    <col min="2049" max="2049" width="56.77734375" style="445" customWidth="1"/>
    <col min="2050" max="2050" width="9.6640625" style="445" customWidth="1"/>
    <col min="2051" max="2061" width="0" style="445" hidden="1" customWidth="1"/>
    <col min="2062" max="2062" width="14.88671875" style="445" bestFit="1" customWidth="1"/>
    <col min="2063" max="2068" width="0" style="445" hidden="1" customWidth="1"/>
    <col min="2069" max="2069" width="31" style="445" customWidth="1"/>
    <col min="2070" max="2304" width="9.21875" style="445"/>
    <col min="2305" max="2305" width="56.77734375" style="445" customWidth="1"/>
    <col min="2306" max="2306" width="9.6640625" style="445" customWidth="1"/>
    <col min="2307" max="2317" width="0" style="445" hidden="1" customWidth="1"/>
    <col min="2318" max="2318" width="14.88671875" style="445" bestFit="1" customWidth="1"/>
    <col min="2319" max="2324" width="0" style="445" hidden="1" customWidth="1"/>
    <col min="2325" max="2325" width="31" style="445" customWidth="1"/>
    <col min="2326" max="2560" width="9.21875" style="445"/>
    <col min="2561" max="2561" width="56.77734375" style="445" customWidth="1"/>
    <col min="2562" max="2562" width="9.6640625" style="445" customWidth="1"/>
    <col min="2563" max="2573" width="0" style="445" hidden="1" customWidth="1"/>
    <col min="2574" max="2574" width="14.88671875" style="445" bestFit="1" customWidth="1"/>
    <col min="2575" max="2580" width="0" style="445" hidden="1" customWidth="1"/>
    <col min="2581" max="2581" width="31" style="445" customWidth="1"/>
    <col min="2582" max="2816" width="9.21875" style="445"/>
    <col min="2817" max="2817" width="56.77734375" style="445" customWidth="1"/>
    <col min="2818" max="2818" width="9.6640625" style="445" customWidth="1"/>
    <col min="2819" max="2829" width="0" style="445" hidden="1" customWidth="1"/>
    <col min="2830" max="2830" width="14.88671875" style="445" bestFit="1" customWidth="1"/>
    <col min="2831" max="2836" width="0" style="445" hidden="1" customWidth="1"/>
    <col min="2837" max="2837" width="31" style="445" customWidth="1"/>
    <col min="2838" max="3072" width="9.21875" style="445"/>
    <col min="3073" max="3073" width="56.77734375" style="445" customWidth="1"/>
    <col min="3074" max="3074" width="9.6640625" style="445" customWidth="1"/>
    <col min="3075" max="3085" width="0" style="445" hidden="1" customWidth="1"/>
    <col min="3086" max="3086" width="14.88671875" style="445" bestFit="1" customWidth="1"/>
    <col min="3087" max="3092" width="0" style="445" hidden="1" customWidth="1"/>
    <col min="3093" max="3093" width="31" style="445" customWidth="1"/>
    <col min="3094" max="3328" width="9.21875" style="445"/>
    <col min="3329" max="3329" width="56.77734375" style="445" customWidth="1"/>
    <col min="3330" max="3330" width="9.6640625" style="445" customWidth="1"/>
    <col min="3331" max="3341" width="0" style="445" hidden="1" customWidth="1"/>
    <col min="3342" max="3342" width="14.88671875" style="445" bestFit="1" customWidth="1"/>
    <col min="3343" max="3348" width="0" style="445" hidden="1" customWidth="1"/>
    <col min="3349" max="3349" width="31" style="445" customWidth="1"/>
    <col min="3350" max="3584" width="9.21875" style="445"/>
    <col min="3585" max="3585" width="56.77734375" style="445" customWidth="1"/>
    <col min="3586" max="3586" width="9.6640625" style="445" customWidth="1"/>
    <col min="3587" max="3597" width="0" style="445" hidden="1" customWidth="1"/>
    <col min="3598" max="3598" width="14.88671875" style="445" bestFit="1" customWidth="1"/>
    <col min="3599" max="3604" width="0" style="445" hidden="1" customWidth="1"/>
    <col min="3605" max="3605" width="31" style="445" customWidth="1"/>
    <col min="3606" max="3840" width="9.21875" style="445"/>
    <col min="3841" max="3841" width="56.77734375" style="445" customWidth="1"/>
    <col min="3842" max="3842" width="9.6640625" style="445" customWidth="1"/>
    <col min="3843" max="3853" width="0" style="445" hidden="1" customWidth="1"/>
    <col min="3854" max="3854" width="14.88671875" style="445" bestFit="1" customWidth="1"/>
    <col min="3855" max="3860" width="0" style="445" hidden="1" customWidth="1"/>
    <col min="3861" max="3861" width="31" style="445" customWidth="1"/>
    <col min="3862" max="4096" width="9.21875" style="445"/>
    <col min="4097" max="4097" width="56.77734375" style="445" customWidth="1"/>
    <col min="4098" max="4098" width="9.6640625" style="445" customWidth="1"/>
    <col min="4099" max="4109" width="0" style="445" hidden="1" customWidth="1"/>
    <col min="4110" max="4110" width="14.88671875" style="445" bestFit="1" customWidth="1"/>
    <col min="4111" max="4116" width="0" style="445" hidden="1" customWidth="1"/>
    <col min="4117" max="4117" width="31" style="445" customWidth="1"/>
    <col min="4118" max="4352" width="9.21875" style="445"/>
    <col min="4353" max="4353" width="56.77734375" style="445" customWidth="1"/>
    <col min="4354" max="4354" width="9.6640625" style="445" customWidth="1"/>
    <col min="4355" max="4365" width="0" style="445" hidden="1" customWidth="1"/>
    <col min="4366" max="4366" width="14.88671875" style="445" bestFit="1" customWidth="1"/>
    <col min="4367" max="4372" width="0" style="445" hidden="1" customWidth="1"/>
    <col min="4373" max="4373" width="31" style="445" customWidth="1"/>
    <col min="4374" max="4608" width="9.21875" style="445"/>
    <col min="4609" max="4609" width="56.77734375" style="445" customWidth="1"/>
    <col min="4610" max="4610" width="9.6640625" style="445" customWidth="1"/>
    <col min="4611" max="4621" width="0" style="445" hidden="1" customWidth="1"/>
    <col min="4622" max="4622" width="14.88671875" style="445" bestFit="1" customWidth="1"/>
    <col min="4623" max="4628" width="0" style="445" hidden="1" customWidth="1"/>
    <col min="4629" max="4629" width="31" style="445" customWidth="1"/>
    <col min="4630" max="4864" width="9.21875" style="445"/>
    <col min="4865" max="4865" width="56.77734375" style="445" customWidth="1"/>
    <col min="4866" max="4866" width="9.6640625" style="445" customWidth="1"/>
    <col min="4867" max="4877" width="0" style="445" hidden="1" customWidth="1"/>
    <col min="4878" max="4878" width="14.88671875" style="445" bestFit="1" customWidth="1"/>
    <col min="4879" max="4884" width="0" style="445" hidden="1" customWidth="1"/>
    <col min="4885" max="4885" width="31" style="445" customWidth="1"/>
    <col min="4886" max="5120" width="9.21875" style="445"/>
    <col min="5121" max="5121" width="56.77734375" style="445" customWidth="1"/>
    <col min="5122" max="5122" width="9.6640625" style="445" customWidth="1"/>
    <col min="5123" max="5133" width="0" style="445" hidden="1" customWidth="1"/>
    <col min="5134" max="5134" width="14.88671875" style="445" bestFit="1" customWidth="1"/>
    <col min="5135" max="5140" width="0" style="445" hidden="1" customWidth="1"/>
    <col min="5141" max="5141" width="31" style="445" customWidth="1"/>
    <col min="5142" max="5376" width="9.21875" style="445"/>
    <col min="5377" max="5377" width="56.77734375" style="445" customWidth="1"/>
    <col min="5378" max="5378" width="9.6640625" style="445" customWidth="1"/>
    <col min="5379" max="5389" width="0" style="445" hidden="1" customWidth="1"/>
    <col min="5390" max="5390" width="14.88671875" style="445" bestFit="1" customWidth="1"/>
    <col min="5391" max="5396" width="0" style="445" hidden="1" customWidth="1"/>
    <col min="5397" max="5397" width="31" style="445" customWidth="1"/>
    <col min="5398" max="5632" width="9.21875" style="445"/>
    <col min="5633" max="5633" width="56.77734375" style="445" customWidth="1"/>
    <col min="5634" max="5634" width="9.6640625" style="445" customWidth="1"/>
    <col min="5635" max="5645" width="0" style="445" hidden="1" customWidth="1"/>
    <col min="5646" max="5646" width="14.88671875" style="445" bestFit="1" customWidth="1"/>
    <col min="5647" max="5652" width="0" style="445" hidden="1" customWidth="1"/>
    <col min="5653" max="5653" width="31" style="445" customWidth="1"/>
    <col min="5654" max="5888" width="9.21875" style="445"/>
    <col min="5889" max="5889" width="56.77734375" style="445" customWidth="1"/>
    <col min="5890" max="5890" width="9.6640625" style="445" customWidth="1"/>
    <col min="5891" max="5901" width="0" style="445" hidden="1" customWidth="1"/>
    <col min="5902" max="5902" width="14.88671875" style="445" bestFit="1" customWidth="1"/>
    <col min="5903" max="5908" width="0" style="445" hidden="1" customWidth="1"/>
    <col min="5909" max="5909" width="31" style="445" customWidth="1"/>
    <col min="5910" max="6144" width="9.21875" style="445"/>
    <col min="6145" max="6145" width="56.77734375" style="445" customWidth="1"/>
    <col min="6146" max="6146" width="9.6640625" style="445" customWidth="1"/>
    <col min="6147" max="6157" width="0" style="445" hidden="1" customWidth="1"/>
    <col min="6158" max="6158" width="14.88671875" style="445" bestFit="1" customWidth="1"/>
    <col min="6159" max="6164" width="0" style="445" hidden="1" customWidth="1"/>
    <col min="6165" max="6165" width="31" style="445" customWidth="1"/>
    <col min="6166" max="6400" width="9.21875" style="445"/>
    <col min="6401" max="6401" width="56.77734375" style="445" customWidth="1"/>
    <col min="6402" max="6402" width="9.6640625" style="445" customWidth="1"/>
    <col min="6403" max="6413" width="0" style="445" hidden="1" customWidth="1"/>
    <col min="6414" max="6414" width="14.88671875" style="445" bestFit="1" customWidth="1"/>
    <col min="6415" max="6420" width="0" style="445" hidden="1" customWidth="1"/>
    <col min="6421" max="6421" width="31" style="445" customWidth="1"/>
    <col min="6422" max="6656" width="9.21875" style="445"/>
    <col min="6657" max="6657" width="56.77734375" style="445" customWidth="1"/>
    <col min="6658" max="6658" width="9.6640625" style="445" customWidth="1"/>
    <col min="6659" max="6669" width="0" style="445" hidden="1" customWidth="1"/>
    <col min="6670" max="6670" width="14.88671875" style="445" bestFit="1" customWidth="1"/>
    <col min="6671" max="6676" width="0" style="445" hidden="1" customWidth="1"/>
    <col min="6677" max="6677" width="31" style="445" customWidth="1"/>
    <col min="6678" max="6912" width="9.21875" style="445"/>
    <col min="6913" max="6913" width="56.77734375" style="445" customWidth="1"/>
    <col min="6914" max="6914" width="9.6640625" style="445" customWidth="1"/>
    <col min="6915" max="6925" width="0" style="445" hidden="1" customWidth="1"/>
    <col min="6926" max="6926" width="14.88671875" style="445" bestFit="1" customWidth="1"/>
    <col min="6927" max="6932" width="0" style="445" hidden="1" customWidth="1"/>
    <col min="6933" max="6933" width="31" style="445" customWidth="1"/>
    <col min="6934" max="7168" width="9.21875" style="445"/>
    <col min="7169" max="7169" width="56.77734375" style="445" customWidth="1"/>
    <col min="7170" max="7170" width="9.6640625" style="445" customWidth="1"/>
    <col min="7171" max="7181" width="0" style="445" hidden="1" customWidth="1"/>
    <col min="7182" max="7182" width="14.88671875" style="445" bestFit="1" customWidth="1"/>
    <col min="7183" max="7188" width="0" style="445" hidden="1" customWidth="1"/>
    <col min="7189" max="7189" width="31" style="445" customWidth="1"/>
    <col min="7190" max="7424" width="9.21875" style="445"/>
    <col min="7425" max="7425" width="56.77734375" style="445" customWidth="1"/>
    <col min="7426" max="7426" width="9.6640625" style="445" customWidth="1"/>
    <col min="7427" max="7437" width="0" style="445" hidden="1" customWidth="1"/>
    <col min="7438" max="7438" width="14.88671875" style="445" bestFit="1" customWidth="1"/>
    <col min="7439" max="7444" width="0" style="445" hidden="1" customWidth="1"/>
    <col min="7445" max="7445" width="31" style="445" customWidth="1"/>
    <col min="7446" max="7680" width="9.21875" style="445"/>
    <col min="7681" max="7681" width="56.77734375" style="445" customWidth="1"/>
    <col min="7682" max="7682" width="9.6640625" style="445" customWidth="1"/>
    <col min="7683" max="7693" width="0" style="445" hidden="1" customWidth="1"/>
    <col min="7694" max="7694" width="14.88671875" style="445" bestFit="1" customWidth="1"/>
    <col min="7695" max="7700" width="0" style="445" hidden="1" customWidth="1"/>
    <col min="7701" max="7701" width="31" style="445" customWidth="1"/>
    <col min="7702" max="7936" width="9.21875" style="445"/>
    <col min="7937" max="7937" width="56.77734375" style="445" customWidth="1"/>
    <col min="7938" max="7938" width="9.6640625" style="445" customWidth="1"/>
    <col min="7939" max="7949" width="0" style="445" hidden="1" customWidth="1"/>
    <col min="7950" max="7950" width="14.88671875" style="445" bestFit="1" customWidth="1"/>
    <col min="7951" max="7956" width="0" style="445" hidden="1" customWidth="1"/>
    <col min="7957" max="7957" width="31" style="445" customWidth="1"/>
    <col min="7958" max="8192" width="9.21875" style="445"/>
    <col min="8193" max="8193" width="56.77734375" style="445" customWidth="1"/>
    <col min="8194" max="8194" width="9.6640625" style="445" customWidth="1"/>
    <col min="8195" max="8205" width="0" style="445" hidden="1" customWidth="1"/>
    <col min="8206" max="8206" width="14.88671875" style="445" bestFit="1" customWidth="1"/>
    <col min="8207" max="8212" width="0" style="445" hidden="1" customWidth="1"/>
    <col min="8213" max="8213" width="31" style="445" customWidth="1"/>
    <col min="8214" max="8448" width="9.21875" style="445"/>
    <col min="8449" max="8449" width="56.77734375" style="445" customWidth="1"/>
    <col min="8450" max="8450" width="9.6640625" style="445" customWidth="1"/>
    <col min="8451" max="8461" width="0" style="445" hidden="1" customWidth="1"/>
    <col min="8462" max="8462" width="14.88671875" style="445" bestFit="1" customWidth="1"/>
    <col min="8463" max="8468" width="0" style="445" hidden="1" customWidth="1"/>
    <col min="8469" max="8469" width="31" style="445" customWidth="1"/>
    <col min="8470" max="8704" width="9.21875" style="445"/>
    <col min="8705" max="8705" width="56.77734375" style="445" customWidth="1"/>
    <col min="8706" max="8706" width="9.6640625" style="445" customWidth="1"/>
    <col min="8707" max="8717" width="0" style="445" hidden="1" customWidth="1"/>
    <col min="8718" max="8718" width="14.88671875" style="445" bestFit="1" customWidth="1"/>
    <col min="8719" max="8724" width="0" style="445" hidden="1" customWidth="1"/>
    <col min="8725" max="8725" width="31" style="445" customWidth="1"/>
    <col min="8726" max="8960" width="9.21875" style="445"/>
    <col min="8961" max="8961" width="56.77734375" style="445" customWidth="1"/>
    <col min="8962" max="8962" width="9.6640625" style="445" customWidth="1"/>
    <col min="8963" max="8973" width="0" style="445" hidden="1" customWidth="1"/>
    <col min="8974" max="8974" width="14.88671875" style="445" bestFit="1" customWidth="1"/>
    <col min="8975" max="8980" width="0" style="445" hidden="1" customWidth="1"/>
    <col min="8981" max="8981" width="31" style="445" customWidth="1"/>
    <col min="8982" max="9216" width="9.21875" style="445"/>
    <col min="9217" max="9217" width="56.77734375" style="445" customWidth="1"/>
    <col min="9218" max="9218" width="9.6640625" style="445" customWidth="1"/>
    <col min="9219" max="9229" width="0" style="445" hidden="1" customWidth="1"/>
    <col min="9230" max="9230" width="14.88671875" style="445" bestFit="1" customWidth="1"/>
    <col min="9231" max="9236" width="0" style="445" hidden="1" customWidth="1"/>
    <col min="9237" max="9237" width="31" style="445" customWidth="1"/>
    <col min="9238" max="9472" width="9.21875" style="445"/>
    <col min="9473" max="9473" width="56.77734375" style="445" customWidth="1"/>
    <col min="9474" max="9474" width="9.6640625" style="445" customWidth="1"/>
    <col min="9475" max="9485" width="0" style="445" hidden="1" customWidth="1"/>
    <col min="9486" max="9486" width="14.88671875" style="445" bestFit="1" customWidth="1"/>
    <col min="9487" max="9492" width="0" style="445" hidden="1" customWidth="1"/>
    <col min="9493" max="9493" width="31" style="445" customWidth="1"/>
    <col min="9494" max="9728" width="9.21875" style="445"/>
    <col min="9729" max="9729" width="56.77734375" style="445" customWidth="1"/>
    <col min="9730" max="9730" width="9.6640625" style="445" customWidth="1"/>
    <col min="9731" max="9741" width="0" style="445" hidden="1" customWidth="1"/>
    <col min="9742" max="9742" width="14.88671875" style="445" bestFit="1" customWidth="1"/>
    <col min="9743" max="9748" width="0" style="445" hidden="1" customWidth="1"/>
    <col min="9749" max="9749" width="31" style="445" customWidth="1"/>
    <col min="9750" max="9984" width="9.21875" style="445"/>
    <col min="9985" max="9985" width="56.77734375" style="445" customWidth="1"/>
    <col min="9986" max="9986" width="9.6640625" style="445" customWidth="1"/>
    <col min="9987" max="9997" width="0" style="445" hidden="1" customWidth="1"/>
    <col min="9998" max="9998" width="14.88671875" style="445" bestFit="1" customWidth="1"/>
    <col min="9999" max="10004" width="0" style="445" hidden="1" customWidth="1"/>
    <col min="10005" max="10005" width="31" style="445" customWidth="1"/>
    <col min="10006" max="10240" width="9.21875" style="445"/>
    <col min="10241" max="10241" width="56.77734375" style="445" customWidth="1"/>
    <col min="10242" max="10242" width="9.6640625" style="445" customWidth="1"/>
    <col min="10243" max="10253" width="0" style="445" hidden="1" customWidth="1"/>
    <col min="10254" max="10254" width="14.88671875" style="445" bestFit="1" customWidth="1"/>
    <col min="10255" max="10260" width="0" style="445" hidden="1" customWidth="1"/>
    <col min="10261" max="10261" width="31" style="445" customWidth="1"/>
    <col min="10262" max="10496" width="9.21875" style="445"/>
    <col min="10497" max="10497" width="56.77734375" style="445" customWidth="1"/>
    <col min="10498" max="10498" width="9.6640625" style="445" customWidth="1"/>
    <col min="10499" max="10509" width="0" style="445" hidden="1" customWidth="1"/>
    <col min="10510" max="10510" width="14.88671875" style="445" bestFit="1" customWidth="1"/>
    <col min="10511" max="10516" width="0" style="445" hidden="1" customWidth="1"/>
    <col min="10517" max="10517" width="31" style="445" customWidth="1"/>
    <col min="10518" max="10752" width="9.21875" style="445"/>
    <col min="10753" max="10753" width="56.77734375" style="445" customWidth="1"/>
    <col min="10754" max="10754" width="9.6640625" style="445" customWidth="1"/>
    <col min="10755" max="10765" width="0" style="445" hidden="1" customWidth="1"/>
    <col min="10766" max="10766" width="14.88671875" style="445" bestFit="1" customWidth="1"/>
    <col min="10767" max="10772" width="0" style="445" hidden="1" customWidth="1"/>
    <col min="10773" max="10773" width="31" style="445" customWidth="1"/>
    <col min="10774" max="11008" width="9.21875" style="445"/>
    <col min="11009" max="11009" width="56.77734375" style="445" customWidth="1"/>
    <col min="11010" max="11010" width="9.6640625" style="445" customWidth="1"/>
    <col min="11011" max="11021" width="0" style="445" hidden="1" customWidth="1"/>
    <col min="11022" max="11022" width="14.88671875" style="445" bestFit="1" customWidth="1"/>
    <col min="11023" max="11028" width="0" style="445" hidden="1" customWidth="1"/>
    <col min="11029" max="11029" width="31" style="445" customWidth="1"/>
    <col min="11030" max="11264" width="9.21875" style="445"/>
    <col min="11265" max="11265" width="56.77734375" style="445" customWidth="1"/>
    <col min="11266" max="11266" width="9.6640625" style="445" customWidth="1"/>
    <col min="11267" max="11277" width="0" style="445" hidden="1" customWidth="1"/>
    <col min="11278" max="11278" width="14.88671875" style="445" bestFit="1" customWidth="1"/>
    <col min="11279" max="11284" width="0" style="445" hidden="1" customWidth="1"/>
    <col min="11285" max="11285" width="31" style="445" customWidth="1"/>
    <col min="11286" max="11520" width="9.21875" style="445"/>
    <col min="11521" max="11521" width="56.77734375" style="445" customWidth="1"/>
    <col min="11522" max="11522" width="9.6640625" style="445" customWidth="1"/>
    <col min="11523" max="11533" width="0" style="445" hidden="1" customWidth="1"/>
    <col min="11534" max="11534" width="14.88671875" style="445" bestFit="1" customWidth="1"/>
    <col min="11535" max="11540" width="0" style="445" hidden="1" customWidth="1"/>
    <col min="11541" max="11541" width="31" style="445" customWidth="1"/>
    <col min="11542" max="11776" width="9.21875" style="445"/>
    <col min="11777" max="11777" width="56.77734375" style="445" customWidth="1"/>
    <col min="11778" max="11778" width="9.6640625" style="445" customWidth="1"/>
    <col min="11779" max="11789" width="0" style="445" hidden="1" customWidth="1"/>
    <col min="11790" max="11790" width="14.88671875" style="445" bestFit="1" customWidth="1"/>
    <col min="11791" max="11796" width="0" style="445" hidden="1" customWidth="1"/>
    <col min="11797" max="11797" width="31" style="445" customWidth="1"/>
    <col min="11798" max="12032" width="9.21875" style="445"/>
    <col min="12033" max="12033" width="56.77734375" style="445" customWidth="1"/>
    <col min="12034" max="12034" width="9.6640625" style="445" customWidth="1"/>
    <col min="12035" max="12045" width="0" style="445" hidden="1" customWidth="1"/>
    <col min="12046" max="12046" width="14.88671875" style="445" bestFit="1" customWidth="1"/>
    <col min="12047" max="12052" width="0" style="445" hidden="1" customWidth="1"/>
    <col min="12053" max="12053" width="31" style="445" customWidth="1"/>
    <col min="12054" max="12288" width="9.21875" style="445"/>
    <col min="12289" max="12289" width="56.77734375" style="445" customWidth="1"/>
    <col min="12290" max="12290" width="9.6640625" style="445" customWidth="1"/>
    <col min="12291" max="12301" width="0" style="445" hidden="1" customWidth="1"/>
    <col min="12302" max="12302" width="14.88671875" style="445" bestFit="1" customWidth="1"/>
    <col min="12303" max="12308" width="0" style="445" hidden="1" customWidth="1"/>
    <col min="12309" max="12309" width="31" style="445" customWidth="1"/>
    <col min="12310" max="12544" width="9.21875" style="445"/>
    <col min="12545" max="12545" width="56.77734375" style="445" customWidth="1"/>
    <col min="12546" max="12546" width="9.6640625" style="445" customWidth="1"/>
    <col min="12547" max="12557" width="0" style="445" hidden="1" customWidth="1"/>
    <col min="12558" max="12558" width="14.88671875" style="445" bestFit="1" customWidth="1"/>
    <col min="12559" max="12564" width="0" style="445" hidden="1" customWidth="1"/>
    <col min="12565" max="12565" width="31" style="445" customWidth="1"/>
    <col min="12566" max="12800" width="9.21875" style="445"/>
    <col min="12801" max="12801" width="56.77734375" style="445" customWidth="1"/>
    <col min="12802" max="12802" width="9.6640625" style="445" customWidth="1"/>
    <col min="12803" max="12813" width="0" style="445" hidden="1" customWidth="1"/>
    <col min="12814" max="12814" width="14.88671875" style="445" bestFit="1" customWidth="1"/>
    <col min="12815" max="12820" width="0" style="445" hidden="1" customWidth="1"/>
    <col min="12821" max="12821" width="31" style="445" customWidth="1"/>
    <col min="12822" max="13056" width="9.21875" style="445"/>
    <col min="13057" max="13057" width="56.77734375" style="445" customWidth="1"/>
    <col min="13058" max="13058" width="9.6640625" style="445" customWidth="1"/>
    <col min="13059" max="13069" width="0" style="445" hidden="1" customWidth="1"/>
    <col min="13070" max="13070" width="14.88671875" style="445" bestFit="1" customWidth="1"/>
    <col min="13071" max="13076" width="0" style="445" hidden="1" customWidth="1"/>
    <col min="13077" max="13077" width="31" style="445" customWidth="1"/>
    <col min="13078" max="13312" width="9.21875" style="445"/>
    <col min="13313" max="13313" width="56.77734375" style="445" customWidth="1"/>
    <col min="13314" max="13314" width="9.6640625" style="445" customWidth="1"/>
    <col min="13315" max="13325" width="0" style="445" hidden="1" customWidth="1"/>
    <col min="13326" max="13326" width="14.88671875" style="445" bestFit="1" customWidth="1"/>
    <col min="13327" max="13332" width="0" style="445" hidden="1" customWidth="1"/>
    <col min="13333" max="13333" width="31" style="445" customWidth="1"/>
    <col min="13334" max="13568" width="9.21875" style="445"/>
    <col min="13569" max="13569" width="56.77734375" style="445" customWidth="1"/>
    <col min="13570" max="13570" width="9.6640625" style="445" customWidth="1"/>
    <col min="13571" max="13581" width="0" style="445" hidden="1" customWidth="1"/>
    <col min="13582" max="13582" width="14.88671875" style="445" bestFit="1" customWidth="1"/>
    <col min="13583" max="13588" width="0" style="445" hidden="1" customWidth="1"/>
    <col min="13589" max="13589" width="31" style="445" customWidth="1"/>
    <col min="13590" max="13824" width="9.21875" style="445"/>
    <col min="13825" max="13825" width="56.77734375" style="445" customWidth="1"/>
    <col min="13826" max="13826" width="9.6640625" style="445" customWidth="1"/>
    <col min="13827" max="13837" width="0" style="445" hidden="1" customWidth="1"/>
    <col min="13838" max="13838" width="14.88671875" style="445" bestFit="1" customWidth="1"/>
    <col min="13839" max="13844" width="0" style="445" hidden="1" customWidth="1"/>
    <col min="13845" max="13845" width="31" style="445" customWidth="1"/>
    <col min="13846" max="14080" width="9.21875" style="445"/>
    <col min="14081" max="14081" width="56.77734375" style="445" customWidth="1"/>
    <col min="14082" max="14082" width="9.6640625" style="445" customWidth="1"/>
    <col min="14083" max="14093" width="0" style="445" hidden="1" customWidth="1"/>
    <col min="14094" max="14094" width="14.88671875" style="445" bestFit="1" customWidth="1"/>
    <col min="14095" max="14100" width="0" style="445" hidden="1" customWidth="1"/>
    <col min="14101" max="14101" width="31" style="445" customWidth="1"/>
    <col min="14102" max="14336" width="9.21875" style="445"/>
    <col min="14337" max="14337" width="56.77734375" style="445" customWidth="1"/>
    <col min="14338" max="14338" width="9.6640625" style="445" customWidth="1"/>
    <col min="14339" max="14349" width="0" style="445" hidden="1" customWidth="1"/>
    <col min="14350" max="14350" width="14.88671875" style="445" bestFit="1" customWidth="1"/>
    <col min="14351" max="14356" width="0" style="445" hidden="1" customWidth="1"/>
    <col min="14357" max="14357" width="31" style="445" customWidth="1"/>
    <col min="14358" max="14592" width="9.21875" style="445"/>
    <col min="14593" max="14593" width="56.77734375" style="445" customWidth="1"/>
    <col min="14594" max="14594" width="9.6640625" style="445" customWidth="1"/>
    <col min="14595" max="14605" width="0" style="445" hidden="1" customWidth="1"/>
    <col min="14606" max="14606" width="14.88671875" style="445" bestFit="1" customWidth="1"/>
    <col min="14607" max="14612" width="0" style="445" hidden="1" customWidth="1"/>
    <col min="14613" max="14613" width="31" style="445" customWidth="1"/>
    <col min="14614" max="14848" width="9.21875" style="445"/>
    <col min="14849" max="14849" width="56.77734375" style="445" customWidth="1"/>
    <col min="14850" max="14850" width="9.6640625" style="445" customWidth="1"/>
    <col min="14851" max="14861" width="0" style="445" hidden="1" customWidth="1"/>
    <col min="14862" max="14862" width="14.88671875" style="445" bestFit="1" customWidth="1"/>
    <col min="14863" max="14868" width="0" style="445" hidden="1" customWidth="1"/>
    <col min="14869" max="14869" width="31" style="445" customWidth="1"/>
    <col min="14870" max="15104" width="9.21875" style="445"/>
    <col min="15105" max="15105" width="56.77734375" style="445" customWidth="1"/>
    <col min="15106" max="15106" width="9.6640625" style="445" customWidth="1"/>
    <col min="15107" max="15117" width="0" style="445" hidden="1" customWidth="1"/>
    <col min="15118" max="15118" width="14.88671875" style="445" bestFit="1" customWidth="1"/>
    <col min="15119" max="15124" width="0" style="445" hidden="1" customWidth="1"/>
    <col min="15125" max="15125" width="31" style="445" customWidth="1"/>
    <col min="15126" max="15360" width="9.21875" style="445"/>
    <col min="15361" max="15361" width="56.77734375" style="445" customWidth="1"/>
    <col min="15362" max="15362" width="9.6640625" style="445" customWidth="1"/>
    <col min="15363" max="15373" width="0" style="445" hidden="1" customWidth="1"/>
    <col min="15374" max="15374" width="14.88671875" style="445" bestFit="1" customWidth="1"/>
    <col min="15375" max="15380" width="0" style="445" hidden="1" customWidth="1"/>
    <col min="15381" max="15381" width="31" style="445" customWidth="1"/>
    <col min="15382" max="15616" width="9.21875" style="445"/>
    <col min="15617" max="15617" width="56.77734375" style="445" customWidth="1"/>
    <col min="15618" max="15618" width="9.6640625" style="445" customWidth="1"/>
    <col min="15619" max="15629" width="0" style="445" hidden="1" customWidth="1"/>
    <col min="15630" max="15630" width="14.88671875" style="445" bestFit="1" customWidth="1"/>
    <col min="15631" max="15636" width="0" style="445" hidden="1" customWidth="1"/>
    <col min="15637" max="15637" width="31" style="445" customWidth="1"/>
    <col min="15638" max="15872" width="9.21875" style="445"/>
    <col min="15873" max="15873" width="56.77734375" style="445" customWidth="1"/>
    <col min="15874" max="15874" width="9.6640625" style="445" customWidth="1"/>
    <col min="15875" max="15885" width="0" style="445" hidden="1" customWidth="1"/>
    <col min="15886" max="15886" width="14.88671875" style="445" bestFit="1" customWidth="1"/>
    <col min="15887" max="15892" width="0" style="445" hidden="1" customWidth="1"/>
    <col min="15893" max="15893" width="31" style="445" customWidth="1"/>
    <col min="15894" max="16128" width="9.21875" style="445"/>
    <col min="16129" max="16129" width="56.77734375" style="445" customWidth="1"/>
    <col min="16130" max="16130" width="9.6640625" style="445" customWidth="1"/>
    <col min="16131" max="16141" width="0" style="445" hidden="1" customWidth="1"/>
    <col min="16142" max="16142" width="14.88671875" style="445" bestFit="1" customWidth="1"/>
    <col min="16143" max="16148" width="0" style="445" hidden="1" customWidth="1"/>
    <col min="16149" max="16149" width="31" style="445" customWidth="1"/>
    <col min="16150" max="16384" width="9.21875" style="445"/>
  </cols>
  <sheetData>
    <row r="1" spans="1:19" s="437" customFormat="1" ht="16.2">
      <c r="A1" s="539" t="s">
        <v>302</v>
      </c>
      <c r="B1" s="539"/>
      <c r="C1" s="539"/>
      <c r="D1" s="539"/>
      <c r="E1" s="539"/>
      <c r="F1" s="539"/>
      <c r="G1" s="539"/>
      <c r="H1" s="539"/>
      <c r="I1" s="539"/>
      <c r="J1" s="539"/>
      <c r="K1" s="539"/>
      <c r="L1" s="539"/>
      <c r="M1" s="539"/>
      <c r="N1" s="539"/>
      <c r="Q1" s="438"/>
      <c r="R1" s="439"/>
      <c r="S1" s="440"/>
    </row>
    <row r="2" spans="1:19" s="437" customFormat="1" ht="15.6">
      <c r="A2" s="540" t="s">
        <v>301</v>
      </c>
      <c r="B2" s="540"/>
      <c r="C2" s="540"/>
      <c r="D2" s="540"/>
      <c r="E2" s="540"/>
      <c r="F2" s="540"/>
      <c r="G2" s="540"/>
      <c r="H2" s="540"/>
      <c r="I2" s="540"/>
      <c r="J2" s="540"/>
      <c r="K2" s="540"/>
      <c r="L2" s="540"/>
      <c r="M2" s="540"/>
      <c r="N2" s="540"/>
      <c r="Q2" s="441"/>
      <c r="R2" s="442"/>
      <c r="S2" s="440"/>
    </row>
    <row r="3" spans="1:19" s="437" customFormat="1" ht="15.6">
      <c r="A3" s="541" t="str">
        <f>R4</f>
        <v>July 2017</v>
      </c>
      <c r="B3" s="541"/>
      <c r="C3" s="541"/>
      <c r="D3" s="541"/>
      <c r="E3" s="541"/>
      <c r="F3" s="541"/>
      <c r="G3" s="541"/>
      <c r="H3" s="541"/>
      <c r="I3" s="541"/>
      <c r="J3" s="541"/>
      <c r="K3" s="541"/>
      <c r="L3" s="541"/>
      <c r="M3" s="541"/>
      <c r="N3" s="541"/>
      <c r="Q3" s="441"/>
      <c r="R3" s="442"/>
      <c r="S3" s="440"/>
    </row>
    <row r="4" spans="1:19" s="437" customFormat="1">
      <c r="A4" s="443"/>
      <c r="Q4" s="441" t="s">
        <v>390</v>
      </c>
      <c r="R4" s="442" t="str">
        <f>TEXT(S4,"mmmm yyyy")</f>
        <v>July 2017</v>
      </c>
      <c r="S4" s="444">
        <v>42947</v>
      </c>
    </row>
    <row r="5" spans="1:19" ht="15.6">
      <c r="A5" s="104"/>
      <c r="B5" s="104"/>
      <c r="C5" s="104"/>
      <c r="D5" s="104"/>
      <c r="E5" s="104"/>
      <c r="F5" s="104"/>
      <c r="G5" s="104"/>
      <c r="H5" s="104"/>
      <c r="I5" s="104"/>
      <c r="J5" s="104"/>
      <c r="K5" s="104"/>
      <c r="L5" s="104"/>
      <c r="M5" s="104"/>
      <c r="N5" s="104"/>
      <c r="Q5" s="441" t="s">
        <v>391</v>
      </c>
      <c r="R5" s="442" t="str">
        <f>S5</f>
        <v>.</v>
      </c>
      <c r="S5" s="446" t="s">
        <v>392</v>
      </c>
    </row>
    <row r="6" spans="1:19" ht="15.6">
      <c r="A6" s="104"/>
      <c r="B6" s="517"/>
      <c r="C6" s="517"/>
      <c r="D6" s="517"/>
      <c r="E6" s="517"/>
      <c r="F6" s="517"/>
      <c r="G6" s="517"/>
      <c r="H6" s="517"/>
      <c r="I6" s="517"/>
      <c r="J6" s="517"/>
      <c r="K6" s="517"/>
      <c r="L6" s="517"/>
      <c r="M6" s="517"/>
      <c r="N6" s="517" t="str">
        <f>"FY "&amp;R6&amp;" YTD"</f>
        <v>FY 2017 YTD</v>
      </c>
      <c r="Q6" s="441" t="s">
        <v>393</v>
      </c>
      <c r="R6" s="442" t="str">
        <f>S6</f>
        <v>2017</v>
      </c>
      <c r="S6" s="446" t="s">
        <v>394</v>
      </c>
    </row>
    <row r="7" spans="1:19" ht="16.2" thickBot="1">
      <c r="A7" s="104"/>
      <c r="B7" s="447" t="str">
        <f>"Sep 20"&amp;$R$10</f>
        <v>Sep 2016</v>
      </c>
      <c r="C7" s="447" t="str">
        <f>"Oct 20"&amp;$R$10</f>
        <v>Oct 2016</v>
      </c>
      <c r="D7" s="482" t="str">
        <f>"Nov 20"&amp;$R$10</f>
        <v>Nov 2016</v>
      </c>
      <c r="E7" s="482" t="str">
        <f>"Dec 20"&amp;$R$10</f>
        <v>Dec 2016</v>
      </c>
      <c r="F7" s="482" t="str">
        <f>"Jan "&amp;$R$6</f>
        <v>Jan 2017</v>
      </c>
      <c r="G7" s="482" t="str">
        <f>"Feb "&amp;$R$6</f>
        <v>Feb 2017</v>
      </c>
      <c r="H7" s="482" t="str">
        <f>"Mar "&amp;$R$6</f>
        <v>Mar 2017</v>
      </c>
      <c r="I7" s="482" t="str">
        <f>"Apr "&amp;$R$6</f>
        <v>Apr 2017</v>
      </c>
      <c r="J7" s="482" t="str">
        <f>"May "&amp;$R$6</f>
        <v>May 2017</v>
      </c>
      <c r="K7" s="482" t="str">
        <f>"Jun "&amp;$R$6</f>
        <v>Jun 2017</v>
      </c>
      <c r="L7" s="482" t="str">
        <f>"Jul "&amp;$R$6</f>
        <v>Jul 2017</v>
      </c>
      <c r="M7" s="482" t="str">
        <f>"Aug "&amp;$R$6</f>
        <v>Aug 2017</v>
      </c>
      <c r="N7" s="494" t="str">
        <f>"as of "&amp;R8</f>
        <v>as of 07/31/17</v>
      </c>
      <c r="Q7" s="441" t="s">
        <v>395</v>
      </c>
      <c r="R7" s="442" t="str">
        <f>TEXT(S7,"mmmm-dd-yyyy")</f>
        <v>July-31-2017</v>
      </c>
      <c r="S7" s="444">
        <f>S4</f>
        <v>42947</v>
      </c>
    </row>
    <row r="8" spans="1:19" ht="16.2" thickTop="1">
      <c r="A8" s="104"/>
      <c r="B8" s="103"/>
      <c r="C8" s="103"/>
      <c r="D8" s="103"/>
      <c r="E8" s="103"/>
      <c r="F8" s="103"/>
      <c r="G8" s="103"/>
      <c r="H8" s="103"/>
      <c r="I8" s="103"/>
      <c r="J8" s="103"/>
      <c r="K8" s="103"/>
      <c r="L8" s="103"/>
      <c r="M8" s="103"/>
      <c r="N8" s="103"/>
      <c r="Q8" s="441" t="s">
        <v>395</v>
      </c>
      <c r="R8" s="442" t="str">
        <f>TEXT(S8,"mm/dd/yy")</f>
        <v>07/31/17</v>
      </c>
      <c r="S8" s="444">
        <f>S4</f>
        <v>42947</v>
      </c>
    </row>
    <row r="9" spans="1:19" ht="16.2" thickBot="1">
      <c r="A9" s="485" t="s">
        <v>300</v>
      </c>
      <c r="B9" s="111">
        <v>0</v>
      </c>
      <c r="C9" s="111">
        <f t="shared" ref="C9:M9" si="0">B9</f>
        <v>0</v>
      </c>
      <c r="D9" s="111">
        <f t="shared" si="0"/>
        <v>0</v>
      </c>
      <c r="E9" s="111">
        <f t="shared" si="0"/>
        <v>0</v>
      </c>
      <c r="F9" s="111">
        <f t="shared" si="0"/>
        <v>0</v>
      </c>
      <c r="G9" s="111">
        <f t="shared" si="0"/>
        <v>0</v>
      </c>
      <c r="H9" s="111">
        <f t="shared" si="0"/>
        <v>0</v>
      </c>
      <c r="I9" s="111">
        <f t="shared" si="0"/>
        <v>0</v>
      </c>
      <c r="J9" s="111">
        <f t="shared" si="0"/>
        <v>0</v>
      </c>
      <c r="K9" s="111">
        <f t="shared" si="0"/>
        <v>0</v>
      </c>
      <c r="L9" s="111">
        <f t="shared" si="0"/>
        <v>0</v>
      </c>
      <c r="M9" s="111">
        <f t="shared" si="0"/>
        <v>0</v>
      </c>
      <c r="N9" s="111">
        <f>+M29</f>
        <v>0</v>
      </c>
      <c r="Q9" s="441" t="s">
        <v>393</v>
      </c>
      <c r="R9" s="442">
        <f>S9</f>
        <v>17</v>
      </c>
      <c r="S9" s="448">
        <v>17</v>
      </c>
    </row>
    <row r="10" spans="1:19" ht="15.6">
      <c r="A10" s="104"/>
      <c r="B10" s="103"/>
      <c r="C10" s="103"/>
      <c r="D10" s="103"/>
      <c r="E10" s="103"/>
      <c r="F10" s="103"/>
      <c r="G10" s="103"/>
      <c r="H10" s="103"/>
      <c r="I10" s="103"/>
      <c r="J10" s="103"/>
      <c r="K10" s="103"/>
      <c r="L10" s="103"/>
      <c r="M10" s="103"/>
      <c r="N10" s="103"/>
      <c r="Q10" s="479" t="s">
        <v>396</v>
      </c>
      <c r="R10" s="480">
        <f>S10</f>
        <v>16</v>
      </c>
      <c r="S10" s="449">
        <f>S9-1</f>
        <v>16</v>
      </c>
    </row>
    <row r="11" spans="1:19" ht="15.6">
      <c r="A11" s="106" t="s">
        <v>299</v>
      </c>
      <c r="B11" s="103"/>
      <c r="C11" s="103"/>
      <c r="D11" s="103"/>
      <c r="E11" s="103"/>
      <c r="F11" s="103"/>
      <c r="G11" s="103"/>
      <c r="H11" s="103"/>
      <c r="I11" s="103"/>
      <c r="J11" s="103"/>
      <c r="K11" s="103"/>
      <c r="L11" s="103"/>
      <c r="M11" s="103"/>
      <c r="N11" s="103"/>
    </row>
    <row r="12" spans="1:19" ht="15.6">
      <c r="A12" s="104"/>
      <c r="B12" s="103"/>
      <c r="C12" s="103"/>
      <c r="D12" s="103"/>
      <c r="E12" s="103"/>
      <c r="F12" s="103"/>
      <c r="G12" s="103"/>
      <c r="H12" s="103"/>
      <c r="I12" s="103"/>
      <c r="J12" s="103"/>
      <c r="K12" s="103"/>
      <c r="L12" s="103"/>
      <c r="M12" s="103"/>
      <c r="N12" s="103"/>
    </row>
    <row r="13" spans="1:19" ht="15.6">
      <c r="A13" s="110" t="s">
        <v>298</v>
      </c>
      <c r="B13" s="103">
        <v>869.22</v>
      </c>
      <c r="C13" s="103">
        <v>22.45</v>
      </c>
      <c r="D13" s="103">
        <v>179.08</v>
      </c>
      <c r="E13" s="103">
        <v>104.5</v>
      </c>
      <c r="F13" s="103">
        <v>899.65</v>
      </c>
      <c r="G13" s="103">
        <v>5.84</v>
      </c>
      <c r="H13" s="103">
        <v>15.05</v>
      </c>
      <c r="I13" s="103">
        <v>1369.53</v>
      </c>
      <c r="J13" s="103">
        <v>14.72</v>
      </c>
      <c r="K13" s="103">
        <v>0</v>
      </c>
      <c r="L13" s="103">
        <v>2709.35</v>
      </c>
      <c r="M13" s="103"/>
      <c r="N13" s="103">
        <f>SUM(B13:M13)</f>
        <v>6189.39</v>
      </c>
    </row>
    <row r="14" spans="1:19" ht="15.6">
      <c r="A14" s="104" t="s">
        <v>297</v>
      </c>
      <c r="B14" s="103"/>
      <c r="C14" s="103"/>
      <c r="D14" s="103"/>
      <c r="E14" s="103"/>
      <c r="F14" s="103"/>
      <c r="G14" s="103"/>
      <c r="H14" s="103"/>
      <c r="I14" s="103"/>
      <c r="J14" s="103"/>
      <c r="K14" s="103"/>
      <c r="L14" s="103"/>
      <c r="M14" s="103"/>
      <c r="N14" s="103">
        <f>SUM(B14:M14)</f>
        <v>0</v>
      </c>
    </row>
    <row r="15" spans="1:19" ht="15.6">
      <c r="A15" s="104" t="s">
        <v>296</v>
      </c>
      <c r="B15" s="103"/>
      <c r="C15" s="103"/>
      <c r="D15" s="103"/>
      <c r="E15" s="103"/>
      <c r="F15" s="103"/>
      <c r="G15" s="103"/>
      <c r="H15" s="103"/>
      <c r="I15" s="103"/>
      <c r="J15" s="103"/>
      <c r="K15" s="103"/>
      <c r="L15" s="103"/>
      <c r="M15" s="103"/>
      <c r="N15" s="103">
        <f>SUM(B15:M15)</f>
        <v>0</v>
      </c>
    </row>
    <row r="16" spans="1:19" ht="15.6">
      <c r="A16" s="104" t="s">
        <v>295</v>
      </c>
      <c r="B16" s="103"/>
      <c r="C16" s="103"/>
      <c r="D16" s="103"/>
      <c r="E16" s="103"/>
      <c r="F16" s="103"/>
      <c r="G16" s="103"/>
      <c r="H16" s="103"/>
      <c r="I16" s="103"/>
      <c r="J16" s="103"/>
      <c r="K16" s="103"/>
      <c r="L16" s="103"/>
      <c r="M16" s="103"/>
      <c r="N16" s="103">
        <f>SUM(B16:M16)</f>
        <v>0</v>
      </c>
    </row>
    <row r="17" spans="1:14" ht="15.6">
      <c r="A17" s="104"/>
      <c r="B17" s="102"/>
      <c r="C17" s="102"/>
      <c r="D17" s="102"/>
      <c r="E17" s="102"/>
      <c r="F17" s="102"/>
      <c r="G17" s="102"/>
      <c r="H17" s="102"/>
      <c r="I17" s="102"/>
      <c r="J17" s="102"/>
      <c r="K17" s="102"/>
      <c r="L17" s="102"/>
      <c r="M17" s="102"/>
      <c r="N17" s="109"/>
    </row>
    <row r="18" spans="1:14" ht="15.6">
      <c r="A18" s="106"/>
      <c r="B18" s="102"/>
      <c r="C18" s="102"/>
      <c r="D18" s="102"/>
      <c r="E18" s="102"/>
      <c r="F18" s="102"/>
      <c r="G18" s="102"/>
      <c r="H18" s="102"/>
      <c r="I18" s="102"/>
      <c r="J18" s="102"/>
      <c r="K18" s="102"/>
      <c r="L18" s="102"/>
      <c r="M18" s="102"/>
      <c r="N18" s="103"/>
    </row>
    <row r="19" spans="1:14" ht="15.6">
      <c r="A19" s="104"/>
      <c r="B19" s="102"/>
      <c r="C19" s="102"/>
      <c r="D19" s="102"/>
      <c r="E19" s="102"/>
      <c r="F19" s="102"/>
      <c r="G19" s="102"/>
      <c r="H19" s="102"/>
      <c r="I19" s="102"/>
      <c r="J19" s="102"/>
      <c r="K19" s="102"/>
      <c r="L19" s="102"/>
      <c r="M19" s="102"/>
      <c r="N19" s="103"/>
    </row>
    <row r="20" spans="1:14" ht="15.6">
      <c r="A20" s="108" t="s">
        <v>294</v>
      </c>
      <c r="B20" s="105">
        <f t="shared" ref="B20:M20" si="1">SUM(B9:B16)</f>
        <v>869.22</v>
      </c>
      <c r="C20" s="105">
        <f t="shared" si="1"/>
        <v>22.45</v>
      </c>
      <c r="D20" s="105">
        <f t="shared" si="1"/>
        <v>179.08</v>
      </c>
      <c r="E20" s="105">
        <f t="shared" si="1"/>
        <v>104.5</v>
      </c>
      <c r="F20" s="105">
        <f t="shared" si="1"/>
        <v>899.65</v>
      </c>
      <c r="G20" s="105">
        <f t="shared" si="1"/>
        <v>5.84</v>
      </c>
      <c r="H20" s="105">
        <f t="shared" si="1"/>
        <v>15.05</v>
      </c>
      <c r="I20" s="105">
        <f t="shared" si="1"/>
        <v>1369.53</v>
      </c>
      <c r="J20" s="105">
        <f t="shared" si="1"/>
        <v>14.72</v>
      </c>
      <c r="K20" s="105">
        <f t="shared" si="1"/>
        <v>0</v>
      </c>
      <c r="L20" s="105">
        <f t="shared" si="1"/>
        <v>2709.35</v>
      </c>
      <c r="M20" s="105">
        <f t="shared" si="1"/>
        <v>0</v>
      </c>
      <c r="N20" s="105">
        <f>SUM(N11:N16)</f>
        <v>6189.39</v>
      </c>
    </row>
    <row r="21" spans="1:14" ht="15.6">
      <c r="A21" s="104"/>
      <c r="B21" s="103"/>
      <c r="C21" s="103"/>
      <c r="D21" s="103"/>
      <c r="E21" s="103"/>
      <c r="F21" s="103"/>
      <c r="G21" s="103"/>
      <c r="H21" s="103"/>
      <c r="I21" s="103"/>
      <c r="J21" s="103"/>
      <c r="K21" s="103"/>
      <c r="L21" s="103"/>
      <c r="M21" s="103"/>
      <c r="N21" s="103"/>
    </row>
    <row r="22" spans="1:14" ht="15.6">
      <c r="A22" s="106" t="s">
        <v>293</v>
      </c>
      <c r="B22" s="103"/>
      <c r="C22" s="103"/>
      <c r="D22" s="103"/>
      <c r="E22" s="103"/>
      <c r="F22" s="103"/>
      <c r="G22" s="103"/>
      <c r="H22" s="103"/>
      <c r="I22" s="103"/>
      <c r="J22" s="103"/>
      <c r="K22" s="103"/>
      <c r="L22" s="103"/>
      <c r="M22" s="103"/>
      <c r="N22" s="103"/>
    </row>
    <row r="23" spans="1:14" ht="15.6">
      <c r="A23" s="106"/>
      <c r="B23" s="103"/>
      <c r="C23" s="103"/>
      <c r="D23" s="103"/>
      <c r="E23" s="103"/>
      <c r="F23" s="103"/>
      <c r="G23" s="103"/>
      <c r="H23" s="103"/>
      <c r="I23" s="103"/>
      <c r="J23" s="103"/>
      <c r="K23" s="103"/>
      <c r="L23" s="103"/>
      <c r="M23" s="103"/>
      <c r="N23" s="103"/>
    </row>
    <row r="24" spans="1:14" ht="15.6">
      <c r="A24" s="107" t="s">
        <v>292</v>
      </c>
      <c r="B24" s="102"/>
      <c r="C24" s="103"/>
      <c r="D24" s="103"/>
      <c r="E24" s="103"/>
      <c r="F24" s="103"/>
      <c r="G24" s="103"/>
      <c r="H24" s="103"/>
      <c r="I24" s="103"/>
      <c r="J24" s="103"/>
      <c r="K24" s="103"/>
      <c r="L24" s="103"/>
      <c r="M24" s="103">
        <v>0</v>
      </c>
      <c r="N24" s="103">
        <f>SUM(B24:M24)</f>
        <v>0</v>
      </c>
    </row>
    <row r="25" spans="1:14" ht="15.6">
      <c r="A25" s="106"/>
      <c r="B25" s="103"/>
      <c r="C25" s="103"/>
      <c r="D25" s="103"/>
      <c r="E25" s="103"/>
      <c r="F25" s="103"/>
      <c r="G25" s="103"/>
      <c r="H25" s="103"/>
      <c r="I25" s="103"/>
      <c r="J25" s="103"/>
      <c r="K25" s="103"/>
      <c r="L25" s="103"/>
      <c r="M25" s="103"/>
      <c r="N25" s="103"/>
    </row>
    <row r="26" spans="1:14" ht="15.6">
      <c r="A26" s="106"/>
      <c r="B26" s="103"/>
      <c r="C26" s="103"/>
      <c r="D26" s="103"/>
      <c r="E26" s="103"/>
      <c r="F26" s="103"/>
      <c r="G26" s="103"/>
      <c r="H26" s="103"/>
      <c r="I26" s="103"/>
      <c r="J26" s="103"/>
      <c r="K26" s="103"/>
      <c r="L26" s="103"/>
      <c r="M26" s="103"/>
      <c r="N26" s="103"/>
    </row>
    <row r="27" spans="1:14" ht="15.6">
      <c r="A27" s="106" t="s">
        <v>291</v>
      </c>
      <c r="B27" s="105">
        <f>SUM(B21:B26)</f>
        <v>0</v>
      </c>
      <c r="C27" s="105">
        <f t="shared" ref="C27:M27" si="2">SUM(C23:C26)</f>
        <v>0</v>
      </c>
      <c r="D27" s="105">
        <f t="shared" si="2"/>
        <v>0</v>
      </c>
      <c r="E27" s="105">
        <f t="shared" si="2"/>
        <v>0</v>
      </c>
      <c r="F27" s="105">
        <f t="shared" si="2"/>
        <v>0</v>
      </c>
      <c r="G27" s="105">
        <f t="shared" si="2"/>
        <v>0</v>
      </c>
      <c r="H27" s="105">
        <f t="shared" si="2"/>
        <v>0</v>
      </c>
      <c r="I27" s="105">
        <f t="shared" si="2"/>
        <v>0</v>
      </c>
      <c r="J27" s="105">
        <f t="shared" si="2"/>
        <v>0</v>
      </c>
      <c r="K27" s="105">
        <f t="shared" si="2"/>
        <v>0</v>
      </c>
      <c r="L27" s="105">
        <f t="shared" si="2"/>
        <v>0</v>
      </c>
      <c r="M27" s="105">
        <f t="shared" si="2"/>
        <v>0</v>
      </c>
      <c r="N27" s="105">
        <f>SUM(N21:N26)</f>
        <v>0</v>
      </c>
    </row>
    <row r="28" spans="1:14" ht="15.6">
      <c r="A28" s="104"/>
      <c r="B28" s="103"/>
      <c r="C28" s="103"/>
      <c r="D28" s="103"/>
      <c r="E28" s="103"/>
      <c r="F28" s="103"/>
      <c r="G28" s="103"/>
      <c r="H28" s="103"/>
      <c r="I28" s="103"/>
      <c r="J28" s="103"/>
      <c r="K28" s="103"/>
      <c r="L28" s="103"/>
      <c r="M28" s="103"/>
      <c r="N28" s="103"/>
    </row>
    <row r="29" spans="1:14" ht="16.2" thickBot="1">
      <c r="A29" s="485" t="s">
        <v>290</v>
      </c>
      <c r="B29" s="495">
        <f>+B20+B27+B9</f>
        <v>869.22</v>
      </c>
      <c r="C29" s="495">
        <f t="shared" ref="C29:N29" si="3">+C20+C27</f>
        <v>22.45</v>
      </c>
      <c r="D29" s="495">
        <f t="shared" si="3"/>
        <v>179.08</v>
      </c>
      <c r="E29" s="495">
        <f t="shared" si="3"/>
        <v>104.5</v>
      </c>
      <c r="F29" s="495">
        <f t="shared" si="3"/>
        <v>899.65</v>
      </c>
      <c r="G29" s="495">
        <f t="shared" si="3"/>
        <v>5.84</v>
      </c>
      <c r="H29" s="495">
        <f t="shared" si="3"/>
        <v>15.05</v>
      </c>
      <c r="I29" s="495">
        <f t="shared" si="3"/>
        <v>1369.53</v>
      </c>
      <c r="J29" s="495">
        <f t="shared" si="3"/>
        <v>14.72</v>
      </c>
      <c r="K29" s="495">
        <f t="shared" si="3"/>
        <v>0</v>
      </c>
      <c r="L29" s="495">
        <f t="shared" si="3"/>
        <v>2709.35</v>
      </c>
      <c r="M29" s="495">
        <f t="shared" si="3"/>
        <v>0</v>
      </c>
      <c r="N29" s="495">
        <f t="shared" si="3"/>
        <v>6189.39</v>
      </c>
    </row>
    <row r="30" spans="1:14" ht="15.6">
      <c r="A30" s="101"/>
      <c r="B30" s="102"/>
      <c r="C30" s="102"/>
      <c r="D30" s="102"/>
      <c r="E30" s="102"/>
      <c r="F30" s="102"/>
      <c r="G30" s="102"/>
      <c r="H30" s="102"/>
      <c r="I30" s="102"/>
      <c r="J30" s="102"/>
      <c r="K30" s="102"/>
      <c r="L30" s="102"/>
      <c r="M30" s="102"/>
      <c r="N30" s="102"/>
    </row>
    <row r="31" spans="1:14" ht="15.6">
      <c r="A31" s="101"/>
      <c r="B31" s="101"/>
      <c r="C31" s="101"/>
      <c r="D31" s="101"/>
      <c r="E31" s="101"/>
      <c r="F31" s="101"/>
      <c r="G31" s="101"/>
      <c r="H31" s="101"/>
      <c r="I31" s="101"/>
      <c r="J31" s="101"/>
      <c r="K31" s="101"/>
      <c r="L31" s="101"/>
      <c r="M31" s="101"/>
      <c r="N31" s="101"/>
    </row>
    <row r="32" spans="1:14" ht="15.6">
      <c r="A32" s="101" t="s">
        <v>289</v>
      </c>
      <c r="B32" s="101"/>
      <c r="C32" s="101"/>
      <c r="D32" s="101"/>
      <c r="E32" s="101"/>
      <c r="F32" s="101"/>
      <c r="G32" s="101"/>
      <c r="H32" s="101"/>
      <c r="I32" s="101"/>
      <c r="J32" s="101"/>
      <c r="K32" s="101"/>
      <c r="L32" s="101"/>
      <c r="M32" s="101"/>
      <c r="N32" s="101"/>
    </row>
    <row r="33" spans="1:14" ht="15.6">
      <c r="A33" s="101"/>
      <c r="B33" s="101"/>
      <c r="C33" s="101"/>
      <c r="D33" s="101"/>
      <c r="E33" s="101"/>
      <c r="F33" s="101"/>
      <c r="G33" s="101"/>
      <c r="H33" s="101"/>
      <c r="I33" s="101"/>
      <c r="J33" s="101"/>
      <c r="K33" s="101"/>
      <c r="L33" s="101"/>
      <c r="M33" s="101"/>
      <c r="N33"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51"/>
  <sheetViews>
    <sheetView zoomScale="85" zoomScaleNormal="85" zoomScaleSheetLayoutView="85" workbookViewId="0">
      <selection activeCell="O14" sqref="O14"/>
    </sheetView>
  </sheetViews>
  <sheetFormatPr defaultColWidth="9.21875" defaultRowHeight="13.2"/>
  <cols>
    <col min="1" max="1" width="64.77734375" style="452" bestFit="1" customWidth="1"/>
    <col min="2" max="2" width="11.33203125" style="452" hidden="1" customWidth="1"/>
    <col min="3" max="3" width="11.44140625" style="452" hidden="1" customWidth="1"/>
    <col min="4" max="4" width="11.77734375" style="452" hidden="1" customWidth="1"/>
    <col min="5" max="5" width="13.21875" style="452" hidden="1" customWidth="1"/>
    <col min="6" max="6" width="11.33203125" style="452" hidden="1" customWidth="1"/>
    <col min="7" max="7" width="11.6640625" style="452" hidden="1" customWidth="1"/>
    <col min="8" max="8" width="12.109375" style="452" hidden="1" customWidth="1"/>
    <col min="9" max="9" width="11.6640625" style="452" hidden="1" customWidth="1"/>
    <col min="10" max="10" width="12.109375" style="452" hidden="1" customWidth="1"/>
    <col min="11" max="11" width="11.44140625" style="452" hidden="1" customWidth="1"/>
    <col min="12" max="12" width="11.109375" style="452" bestFit="1" customWidth="1"/>
    <col min="13" max="13" width="11.77734375" style="452" hidden="1" customWidth="1"/>
    <col min="14" max="14" width="15.6640625" style="452" bestFit="1" customWidth="1"/>
    <col min="15" max="17" width="22.21875" style="452" customWidth="1"/>
    <col min="18" max="21" width="9.21875" style="452" customWidth="1"/>
    <col min="22" max="253" width="9.21875" style="452"/>
    <col min="254" max="254" width="64.5546875" style="452" bestFit="1" customWidth="1"/>
    <col min="255" max="255" width="11.6640625" style="452" bestFit="1" customWidth="1"/>
    <col min="256" max="266" width="0" style="452" hidden="1" customWidth="1"/>
    <col min="267" max="267" width="14.88671875" style="452" customWidth="1"/>
    <col min="268" max="274" width="0" style="452" hidden="1" customWidth="1"/>
    <col min="275" max="509" width="9.21875" style="452"/>
    <col min="510" max="510" width="64.5546875" style="452" bestFit="1" customWidth="1"/>
    <col min="511" max="511" width="11.6640625" style="452" bestFit="1" customWidth="1"/>
    <col min="512" max="522" width="0" style="452" hidden="1" customWidth="1"/>
    <col min="523" max="523" width="14.88671875" style="452" customWidth="1"/>
    <col min="524" max="530" width="0" style="452" hidden="1" customWidth="1"/>
    <col min="531" max="765" width="9.21875" style="452"/>
    <col min="766" max="766" width="64.5546875" style="452" bestFit="1" customWidth="1"/>
    <col min="767" max="767" width="11.6640625" style="452" bestFit="1" customWidth="1"/>
    <col min="768" max="778" width="0" style="452" hidden="1" customWidth="1"/>
    <col min="779" max="779" width="14.88671875" style="452" customWidth="1"/>
    <col min="780" max="786" width="0" style="452" hidden="1" customWidth="1"/>
    <col min="787" max="1021" width="9.21875" style="452"/>
    <col min="1022" max="1022" width="64.5546875" style="452" bestFit="1" customWidth="1"/>
    <col min="1023" max="1023" width="11.6640625" style="452" bestFit="1" customWidth="1"/>
    <col min="1024" max="1034" width="0" style="452" hidden="1" customWidth="1"/>
    <col min="1035" max="1035" width="14.88671875" style="452" customWidth="1"/>
    <col min="1036" max="1042" width="0" style="452" hidden="1" customWidth="1"/>
    <col min="1043" max="1277" width="9.21875" style="452"/>
    <col min="1278" max="1278" width="64.5546875" style="452" bestFit="1" customWidth="1"/>
    <col min="1279" max="1279" width="11.6640625" style="452" bestFit="1" customWidth="1"/>
    <col min="1280" max="1290" width="0" style="452" hidden="1" customWidth="1"/>
    <col min="1291" max="1291" width="14.88671875" style="452" customWidth="1"/>
    <col min="1292" max="1298" width="0" style="452" hidden="1" customWidth="1"/>
    <col min="1299" max="1533" width="9.21875" style="452"/>
    <col min="1534" max="1534" width="64.5546875" style="452" bestFit="1" customWidth="1"/>
    <col min="1535" max="1535" width="11.6640625" style="452" bestFit="1" customWidth="1"/>
    <col min="1536" max="1546" width="0" style="452" hidden="1" customWidth="1"/>
    <col min="1547" max="1547" width="14.88671875" style="452" customWidth="1"/>
    <col min="1548" max="1554" width="0" style="452" hidden="1" customWidth="1"/>
    <col min="1555" max="1789" width="9.21875" style="452"/>
    <col min="1790" max="1790" width="64.5546875" style="452" bestFit="1" customWidth="1"/>
    <col min="1791" max="1791" width="11.6640625" style="452" bestFit="1" customWidth="1"/>
    <col min="1792" max="1802" width="0" style="452" hidden="1" customWidth="1"/>
    <col min="1803" max="1803" width="14.88671875" style="452" customWidth="1"/>
    <col min="1804" max="1810" width="0" style="452" hidden="1" customWidth="1"/>
    <col min="1811" max="2045" width="9.21875" style="452"/>
    <col min="2046" max="2046" width="64.5546875" style="452" bestFit="1" customWidth="1"/>
    <col min="2047" max="2047" width="11.6640625" style="452" bestFit="1" customWidth="1"/>
    <col min="2048" max="2058" width="0" style="452" hidden="1" customWidth="1"/>
    <col min="2059" max="2059" width="14.88671875" style="452" customWidth="1"/>
    <col min="2060" max="2066" width="0" style="452" hidden="1" customWidth="1"/>
    <col min="2067" max="2301" width="9.21875" style="452"/>
    <col min="2302" max="2302" width="64.5546875" style="452" bestFit="1" customWidth="1"/>
    <col min="2303" max="2303" width="11.6640625" style="452" bestFit="1" customWidth="1"/>
    <col min="2304" max="2314" width="0" style="452" hidden="1" customWidth="1"/>
    <col min="2315" max="2315" width="14.88671875" style="452" customWidth="1"/>
    <col min="2316" max="2322" width="0" style="452" hidden="1" customWidth="1"/>
    <col min="2323" max="2557" width="9.21875" style="452"/>
    <col min="2558" max="2558" width="64.5546875" style="452" bestFit="1" customWidth="1"/>
    <col min="2559" max="2559" width="11.6640625" style="452" bestFit="1" customWidth="1"/>
    <col min="2560" max="2570" width="0" style="452" hidden="1" customWidth="1"/>
    <col min="2571" max="2571" width="14.88671875" style="452" customWidth="1"/>
    <col min="2572" max="2578" width="0" style="452" hidden="1" customWidth="1"/>
    <col min="2579" max="2813" width="9.21875" style="452"/>
    <col min="2814" max="2814" width="64.5546875" style="452" bestFit="1" customWidth="1"/>
    <col min="2815" max="2815" width="11.6640625" style="452" bestFit="1" customWidth="1"/>
    <col min="2816" max="2826" width="0" style="452" hidden="1" customWidth="1"/>
    <col min="2827" max="2827" width="14.88671875" style="452" customWidth="1"/>
    <col min="2828" max="2834" width="0" style="452" hidden="1" customWidth="1"/>
    <col min="2835" max="3069" width="9.21875" style="452"/>
    <col min="3070" max="3070" width="64.5546875" style="452" bestFit="1" customWidth="1"/>
    <col min="3071" max="3071" width="11.6640625" style="452" bestFit="1" customWidth="1"/>
    <col min="3072" max="3082" width="0" style="452" hidden="1" customWidth="1"/>
    <col min="3083" max="3083" width="14.88671875" style="452" customWidth="1"/>
    <col min="3084" max="3090" width="0" style="452" hidden="1" customWidth="1"/>
    <col min="3091" max="3325" width="9.21875" style="452"/>
    <col min="3326" max="3326" width="64.5546875" style="452" bestFit="1" customWidth="1"/>
    <col min="3327" max="3327" width="11.6640625" style="452" bestFit="1" customWidth="1"/>
    <col min="3328" max="3338" width="0" style="452" hidden="1" customWidth="1"/>
    <col min="3339" max="3339" width="14.88671875" style="452" customWidth="1"/>
    <col min="3340" max="3346" width="0" style="452" hidden="1" customWidth="1"/>
    <col min="3347" max="3581" width="9.21875" style="452"/>
    <col min="3582" max="3582" width="64.5546875" style="452" bestFit="1" customWidth="1"/>
    <col min="3583" max="3583" width="11.6640625" style="452" bestFit="1" customWidth="1"/>
    <col min="3584" max="3594" width="0" style="452" hidden="1" customWidth="1"/>
    <col min="3595" max="3595" width="14.88671875" style="452" customWidth="1"/>
    <col min="3596" max="3602" width="0" style="452" hidden="1" customWidth="1"/>
    <col min="3603" max="3837" width="9.21875" style="452"/>
    <col min="3838" max="3838" width="64.5546875" style="452" bestFit="1" customWidth="1"/>
    <col min="3839" max="3839" width="11.6640625" style="452" bestFit="1" customWidth="1"/>
    <col min="3840" max="3850" width="0" style="452" hidden="1" customWidth="1"/>
    <col min="3851" max="3851" width="14.88671875" style="452" customWidth="1"/>
    <col min="3852" max="3858" width="0" style="452" hidden="1" customWidth="1"/>
    <col min="3859" max="4093" width="9.21875" style="452"/>
    <col min="4094" max="4094" width="64.5546875" style="452" bestFit="1" customWidth="1"/>
    <col min="4095" max="4095" width="11.6640625" style="452" bestFit="1" customWidth="1"/>
    <col min="4096" max="4106" width="0" style="452" hidden="1" customWidth="1"/>
    <col min="4107" max="4107" width="14.88671875" style="452" customWidth="1"/>
    <col min="4108" max="4114" width="0" style="452" hidden="1" customWidth="1"/>
    <col min="4115" max="4349" width="9.21875" style="452"/>
    <col min="4350" max="4350" width="64.5546875" style="452" bestFit="1" customWidth="1"/>
    <col min="4351" max="4351" width="11.6640625" style="452" bestFit="1" customWidth="1"/>
    <col min="4352" max="4362" width="0" style="452" hidden="1" customWidth="1"/>
    <col min="4363" max="4363" width="14.88671875" style="452" customWidth="1"/>
    <col min="4364" max="4370" width="0" style="452" hidden="1" customWidth="1"/>
    <col min="4371" max="4605" width="9.21875" style="452"/>
    <col min="4606" max="4606" width="64.5546875" style="452" bestFit="1" customWidth="1"/>
    <col min="4607" max="4607" width="11.6640625" style="452" bestFit="1" customWidth="1"/>
    <col min="4608" max="4618" width="0" style="452" hidden="1" customWidth="1"/>
    <col min="4619" max="4619" width="14.88671875" style="452" customWidth="1"/>
    <col min="4620" max="4626" width="0" style="452" hidden="1" customWidth="1"/>
    <col min="4627" max="4861" width="9.21875" style="452"/>
    <col min="4862" max="4862" width="64.5546875" style="452" bestFit="1" customWidth="1"/>
    <col min="4863" max="4863" width="11.6640625" style="452" bestFit="1" customWidth="1"/>
    <col min="4864" max="4874" width="0" style="452" hidden="1" customWidth="1"/>
    <col min="4875" max="4875" width="14.88671875" style="452" customWidth="1"/>
    <col min="4876" max="4882" width="0" style="452" hidden="1" customWidth="1"/>
    <col min="4883" max="5117" width="9.21875" style="452"/>
    <col min="5118" max="5118" width="64.5546875" style="452" bestFit="1" customWidth="1"/>
    <col min="5119" max="5119" width="11.6640625" style="452" bestFit="1" customWidth="1"/>
    <col min="5120" max="5130" width="0" style="452" hidden="1" customWidth="1"/>
    <col min="5131" max="5131" width="14.88671875" style="452" customWidth="1"/>
    <col min="5132" max="5138" width="0" style="452" hidden="1" customWidth="1"/>
    <col min="5139" max="5373" width="9.21875" style="452"/>
    <col min="5374" max="5374" width="64.5546875" style="452" bestFit="1" customWidth="1"/>
    <col min="5375" max="5375" width="11.6640625" style="452" bestFit="1" customWidth="1"/>
    <col min="5376" max="5386" width="0" style="452" hidden="1" customWidth="1"/>
    <col min="5387" max="5387" width="14.88671875" style="452" customWidth="1"/>
    <col min="5388" max="5394" width="0" style="452" hidden="1" customWidth="1"/>
    <col min="5395" max="5629" width="9.21875" style="452"/>
    <col min="5630" max="5630" width="64.5546875" style="452" bestFit="1" customWidth="1"/>
    <col min="5631" max="5631" width="11.6640625" style="452" bestFit="1" customWidth="1"/>
    <col min="5632" max="5642" width="0" style="452" hidden="1" customWidth="1"/>
    <col min="5643" max="5643" width="14.88671875" style="452" customWidth="1"/>
    <col min="5644" max="5650" width="0" style="452" hidden="1" customWidth="1"/>
    <col min="5651" max="5885" width="9.21875" style="452"/>
    <col min="5886" max="5886" width="64.5546875" style="452" bestFit="1" customWidth="1"/>
    <col min="5887" max="5887" width="11.6640625" style="452" bestFit="1" customWidth="1"/>
    <col min="5888" max="5898" width="0" style="452" hidden="1" customWidth="1"/>
    <col min="5899" max="5899" width="14.88671875" style="452" customWidth="1"/>
    <col min="5900" max="5906" width="0" style="452" hidden="1" customWidth="1"/>
    <col min="5907" max="6141" width="9.21875" style="452"/>
    <col min="6142" max="6142" width="64.5546875" style="452" bestFit="1" customWidth="1"/>
    <col min="6143" max="6143" width="11.6640625" style="452" bestFit="1" customWidth="1"/>
    <col min="6144" max="6154" width="0" style="452" hidden="1" customWidth="1"/>
    <col min="6155" max="6155" width="14.88671875" style="452" customWidth="1"/>
    <col min="6156" max="6162" width="0" style="452" hidden="1" customWidth="1"/>
    <col min="6163" max="6397" width="9.21875" style="452"/>
    <col min="6398" max="6398" width="64.5546875" style="452" bestFit="1" customWidth="1"/>
    <col min="6399" max="6399" width="11.6640625" style="452" bestFit="1" customWidth="1"/>
    <col min="6400" max="6410" width="0" style="452" hidden="1" customWidth="1"/>
    <col min="6411" max="6411" width="14.88671875" style="452" customWidth="1"/>
    <col min="6412" max="6418" width="0" style="452" hidden="1" customWidth="1"/>
    <col min="6419" max="6653" width="9.21875" style="452"/>
    <col min="6654" max="6654" width="64.5546875" style="452" bestFit="1" customWidth="1"/>
    <col min="6655" max="6655" width="11.6640625" style="452" bestFit="1" customWidth="1"/>
    <col min="6656" max="6666" width="0" style="452" hidden="1" customWidth="1"/>
    <col min="6667" max="6667" width="14.88671875" style="452" customWidth="1"/>
    <col min="6668" max="6674" width="0" style="452" hidden="1" customWidth="1"/>
    <col min="6675" max="6909" width="9.21875" style="452"/>
    <col min="6910" max="6910" width="64.5546875" style="452" bestFit="1" customWidth="1"/>
    <col min="6911" max="6911" width="11.6640625" style="452" bestFit="1" customWidth="1"/>
    <col min="6912" max="6922" width="0" style="452" hidden="1" customWidth="1"/>
    <col min="6923" max="6923" width="14.88671875" style="452" customWidth="1"/>
    <col min="6924" max="6930" width="0" style="452" hidden="1" customWidth="1"/>
    <col min="6931" max="7165" width="9.21875" style="452"/>
    <col min="7166" max="7166" width="64.5546875" style="452" bestFit="1" customWidth="1"/>
    <col min="7167" max="7167" width="11.6640625" style="452" bestFit="1" customWidth="1"/>
    <col min="7168" max="7178" width="0" style="452" hidden="1" customWidth="1"/>
    <col min="7179" max="7179" width="14.88671875" style="452" customWidth="1"/>
    <col min="7180" max="7186" width="0" style="452" hidden="1" customWidth="1"/>
    <col min="7187" max="7421" width="9.21875" style="452"/>
    <col min="7422" max="7422" width="64.5546875" style="452" bestFit="1" customWidth="1"/>
    <col min="7423" max="7423" width="11.6640625" style="452" bestFit="1" customWidth="1"/>
    <col min="7424" max="7434" width="0" style="452" hidden="1" customWidth="1"/>
    <col min="7435" max="7435" width="14.88671875" style="452" customWidth="1"/>
    <col min="7436" max="7442" width="0" style="452" hidden="1" customWidth="1"/>
    <col min="7443" max="7677" width="9.21875" style="452"/>
    <col min="7678" max="7678" width="64.5546875" style="452" bestFit="1" customWidth="1"/>
    <col min="7679" max="7679" width="11.6640625" style="452" bestFit="1" customWidth="1"/>
    <col min="7680" max="7690" width="0" style="452" hidden="1" customWidth="1"/>
    <col min="7691" max="7691" width="14.88671875" style="452" customWidth="1"/>
    <col min="7692" max="7698" width="0" style="452" hidden="1" customWidth="1"/>
    <col min="7699" max="7933" width="9.21875" style="452"/>
    <col min="7934" max="7934" width="64.5546875" style="452" bestFit="1" customWidth="1"/>
    <col min="7935" max="7935" width="11.6640625" style="452" bestFit="1" customWidth="1"/>
    <col min="7936" max="7946" width="0" style="452" hidden="1" customWidth="1"/>
    <col min="7947" max="7947" width="14.88671875" style="452" customWidth="1"/>
    <col min="7948" max="7954" width="0" style="452" hidden="1" customWidth="1"/>
    <col min="7955" max="8189" width="9.21875" style="452"/>
    <col min="8190" max="8190" width="64.5546875" style="452" bestFit="1" customWidth="1"/>
    <col min="8191" max="8191" width="11.6640625" style="452" bestFit="1" customWidth="1"/>
    <col min="8192" max="8202" width="0" style="452" hidden="1" customWidth="1"/>
    <col min="8203" max="8203" width="14.88671875" style="452" customWidth="1"/>
    <col min="8204" max="8210" width="0" style="452" hidden="1" customWidth="1"/>
    <col min="8211" max="8445" width="9.21875" style="452"/>
    <col min="8446" max="8446" width="64.5546875" style="452" bestFit="1" customWidth="1"/>
    <col min="8447" max="8447" width="11.6640625" style="452" bestFit="1" customWidth="1"/>
    <col min="8448" max="8458" width="0" style="452" hidden="1" customWidth="1"/>
    <col min="8459" max="8459" width="14.88671875" style="452" customWidth="1"/>
    <col min="8460" max="8466" width="0" style="452" hidden="1" customWidth="1"/>
    <col min="8467" max="8701" width="9.21875" style="452"/>
    <col min="8702" max="8702" width="64.5546875" style="452" bestFit="1" customWidth="1"/>
    <col min="8703" max="8703" width="11.6640625" style="452" bestFit="1" customWidth="1"/>
    <col min="8704" max="8714" width="0" style="452" hidden="1" customWidth="1"/>
    <col min="8715" max="8715" width="14.88671875" style="452" customWidth="1"/>
    <col min="8716" max="8722" width="0" style="452" hidden="1" customWidth="1"/>
    <col min="8723" max="8957" width="9.21875" style="452"/>
    <col min="8958" max="8958" width="64.5546875" style="452" bestFit="1" customWidth="1"/>
    <col min="8959" max="8959" width="11.6640625" style="452" bestFit="1" customWidth="1"/>
    <col min="8960" max="8970" width="0" style="452" hidden="1" customWidth="1"/>
    <col min="8971" max="8971" width="14.88671875" style="452" customWidth="1"/>
    <col min="8972" max="8978" width="0" style="452" hidden="1" customWidth="1"/>
    <col min="8979" max="9213" width="9.21875" style="452"/>
    <col min="9214" max="9214" width="64.5546875" style="452" bestFit="1" customWidth="1"/>
    <col min="9215" max="9215" width="11.6640625" style="452" bestFit="1" customWidth="1"/>
    <col min="9216" max="9226" width="0" style="452" hidden="1" customWidth="1"/>
    <col min="9227" max="9227" width="14.88671875" style="452" customWidth="1"/>
    <col min="9228" max="9234" width="0" style="452" hidden="1" customWidth="1"/>
    <col min="9235" max="9469" width="9.21875" style="452"/>
    <col min="9470" max="9470" width="64.5546875" style="452" bestFit="1" customWidth="1"/>
    <col min="9471" max="9471" width="11.6640625" style="452" bestFit="1" customWidth="1"/>
    <col min="9472" max="9482" width="0" style="452" hidden="1" customWidth="1"/>
    <col min="9483" max="9483" width="14.88671875" style="452" customWidth="1"/>
    <col min="9484" max="9490" width="0" style="452" hidden="1" customWidth="1"/>
    <col min="9491" max="9725" width="9.21875" style="452"/>
    <col min="9726" max="9726" width="64.5546875" style="452" bestFit="1" customWidth="1"/>
    <col min="9727" max="9727" width="11.6640625" style="452" bestFit="1" customWidth="1"/>
    <col min="9728" max="9738" width="0" style="452" hidden="1" customWidth="1"/>
    <col min="9739" max="9739" width="14.88671875" style="452" customWidth="1"/>
    <col min="9740" max="9746" width="0" style="452" hidden="1" customWidth="1"/>
    <col min="9747" max="9981" width="9.21875" style="452"/>
    <col min="9982" max="9982" width="64.5546875" style="452" bestFit="1" customWidth="1"/>
    <col min="9983" max="9983" width="11.6640625" style="452" bestFit="1" customWidth="1"/>
    <col min="9984" max="9994" width="0" style="452" hidden="1" customWidth="1"/>
    <col min="9995" max="9995" width="14.88671875" style="452" customWidth="1"/>
    <col min="9996" max="10002" width="0" style="452" hidden="1" customWidth="1"/>
    <col min="10003" max="10237" width="9.21875" style="452"/>
    <col min="10238" max="10238" width="64.5546875" style="452" bestFit="1" customWidth="1"/>
    <col min="10239" max="10239" width="11.6640625" style="452" bestFit="1" customWidth="1"/>
    <col min="10240" max="10250" width="0" style="452" hidden="1" customWidth="1"/>
    <col min="10251" max="10251" width="14.88671875" style="452" customWidth="1"/>
    <col min="10252" max="10258" width="0" style="452" hidden="1" customWidth="1"/>
    <col min="10259" max="10493" width="9.21875" style="452"/>
    <col min="10494" max="10494" width="64.5546875" style="452" bestFit="1" customWidth="1"/>
    <col min="10495" max="10495" width="11.6640625" style="452" bestFit="1" customWidth="1"/>
    <col min="10496" max="10506" width="0" style="452" hidden="1" customWidth="1"/>
    <col min="10507" max="10507" width="14.88671875" style="452" customWidth="1"/>
    <col min="10508" max="10514" width="0" style="452" hidden="1" customWidth="1"/>
    <col min="10515" max="10749" width="9.21875" style="452"/>
    <col min="10750" max="10750" width="64.5546875" style="452" bestFit="1" customWidth="1"/>
    <col min="10751" max="10751" width="11.6640625" style="452" bestFit="1" customWidth="1"/>
    <col min="10752" max="10762" width="0" style="452" hidden="1" customWidth="1"/>
    <col min="10763" max="10763" width="14.88671875" style="452" customWidth="1"/>
    <col min="10764" max="10770" width="0" style="452" hidden="1" customWidth="1"/>
    <col min="10771" max="11005" width="9.21875" style="452"/>
    <col min="11006" max="11006" width="64.5546875" style="452" bestFit="1" customWidth="1"/>
    <col min="11007" max="11007" width="11.6640625" style="452" bestFit="1" customWidth="1"/>
    <col min="11008" max="11018" width="0" style="452" hidden="1" customWidth="1"/>
    <col min="11019" max="11019" width="14.88671875" style="452" customWidth="1"/>
    <col min="11020" max="11026" width="0" style="452" hidden="1" customWidth="1"/>
    <col min="11027" max="11261" width="9.21875" style="452"/>
    <col min="11262" max="11262" width="64.5546875" style="452" bestFit="1" customWidth="1"/>
    <col min="11263" max="11263" width="11.6640625" style="452" bestFit="1" customWidth="1"/>
    <col min="11264" max="11274" width="0" style="452" hidden="1" customWidth="1"/>
    <col min="11275" max="11275" width="14.88671875" style="452" customWidth="1"/>
    <col min="11276" max="11282" width="0" style="452" hidden="1" customWidth="1"/>
    <col min="11283" max="11517" width="9.21875" style="452"/>
    <col min="11518" max="11518" width="64.5546875" style="452" bestFit="1" customWidth="1"/>
    <col min="11519" max="11519" width="11.6640625" style="452" bestFit="1" customWidth="1"/>
    <col min="11520" max="11530" width="0" style="452" hidden="1" customWidth="1"/>
    <col min="11531" max="11531" width="14.88671875" style="452" customWidth="1"/>
    <col min="11532" max="11538" width="0" style="452" hidden="1" customWidth="1"/>
    <col min="11539" max="11773" width="9.21875" style="452"/>
    <col min="11774" max="11774" width="64.5546875" style="452" bestFit="1" customWidth="1"/>
    <col min="11775" max="11775" width="11.6640625" style="452" bestFit="1" customWidth="1"/>
    <col min="11776" max="11786" width="0" style="452" hidden="1" customWidth="1"/>
    <col min="11787" max="11787" width="14.88671875" style="452" customWidth="1"/>
    <col min="11788" max="11794" width="0" style="452" hidden="1" customWidth="1"/>
    <col min="11795" max="12029" width="9.21875" style="452"/>
    <col min="12030" max="12030" width="64.5546875" style="452" bestFit="1" customWidth="1"/>
    <col min="12031" max="12031" width="11.6640625" style="452" bestFit="1" customWidth="1"/>
    <col min="12032" max="12042" width="0" style="452" hidden="1" customWidth="1"/>
    <col min="12043" max="12043" width="14.88671875" style="452" customWidth="1"/>
    <col min="12044" max="12050" width="0" style="452" hidden="1" customWidth="1"/>
    <col min="12051" max="12285" width="9.21875" style="452"/>
    <col min="12286" max="12286" width="64.5546875" style="452" bestFit="1" customWidth="1"/>
    <col min="12287" max="12287" width="11.6640625" style="452" bestFit="1" customWidth="1"/>
    <col min="12288" max="12298" width="0" style="452" hidden="1" customWidth="1"/>
    <col min="12299" max="12299" width="14.88671875" style="452" customWidth="1"/>
    <col min="12300" max="12306" width="0" style="452" hidden="1" customWidth="1"/>
    <col min="12307" max="12541" width="9.21875" style="452"/>
    <col min="12542" max="12542" width="64.5546875" style="452" bestFit="1" customWidth="1"/>
    <col min="12543" max="12543" width="11.6640625" style="452" bestFit="1" customWidth="1"/>
    <col min="12544" max="12554" width="0" style="452" hidden="1" customWidth="1"/>
    <col min="12555" max="12555" width="14.88671875" style="452" customWidth="1"/>
    <col min="12556" max="12562" width="0" style="452" hidden="1" customWidth="1"/>
    <col min="12563" max="12797" width="9.21875" style="452"/>
    <col min="12798" max="12798" width="64.5546875" style="452" bestFit="1" customWidth="1"/>
    <col min="12799" max="12799" width="11.6640625" style="452" bestFit="1" customWidth="1"/>
    <col min="12800" max="12810" width="0" style="452" hidden="1" customWidth="1"/>
    <col min="12811" max="12811" width="14.88671875" style="452" customWidth="1"/>
    <col min="12812" max="12818" width="0" style="452" hidden="1" customWidth="1"/>
    <col min="12819" max="13053" width="9.21875" style="452"/>
    <col min="13054" max="13054" width="64.5546875" style="452" bestFit="1" customWidth="1"/>
    <col min="13055" max="13055" width="11.6640625" style="452" bestFit="1" customWidth="1"/>
    <col min="13056" max="13066" width="0" style="452" hidden="1" customWidth="1"/>
    <col min="13067" max="13067" width="14.88671875" style="452" customWidth="1"/>
    <col min="13068" max="13074" width="0" style="452" hidden="1" customWidth="1"/>
    <col min="13075" max="13309" width="9.21875" style="452"/>
    <col min="13310" max="13310" width="64.5546875" style="452" bestFit="1" customWidth="1"/>
    <col min="13311" max="13311" width="11.6640625" style="452" bestFit="1" customWidth="1"/>
    <col min="13312" max="13322" width="0" style="452" hidden="1" customWidth="1"/>
    <col min="13323" max="13323" width="14.88671875" style="452" customWidth="1"/>
    <col min="13324" max="13330" width="0" style="452" hidden="1" customWidth="1"/>
    <col min="13331" max="13565" width="9.21875" style="452"/>
    <col min="13566" max="13566" width="64.5546875" style="452" bestFit="1" customWidth="1"/>
    <col min="13567" max="13567" width="11.6640625" style="452" bestFit="1" customWidth="1"/>
    <col min="13568" max="13578" width="0" style="452" hidden="1" customWidth="1"/>
    <col min="13579" max="13579" width="14.88671875" style="452" customWidth="1"/>
    <col min="13580" max="13586" width="0" style="452" hidden="1" customWidth="1"/>
    <col min="13587" max="13821" width="9.21875" style="452"/>
    <col min="13822" max="13822" width="64.5546875" style="452" bestFit="1" customWidth="1"/>
    <col min="13823" max="13823" width="11.6640625" style="452" bestFit="1" customWidth="1"/>
    <col min="13824" max="13834" width="0" style="452" hidden="1" customWidth="1"/>
    <col min="13835" max="13835" width="14.88671875" style="452" customWidth="1"/>
    <col min="13836" max="13842" width="0" style="452" hidden="1" customWidth="1"/>
    <col min="13843" max="14077" width="9.21875" style="452"/>
    <col min="14078" max="14078" width="64.5546875" style="452" bestFit="1" customWidth="1"/>
    <col min="14079" max="14079" width="11.6640625" style="452" bestFit="1" customWidth="1"/>
    <col min="14080" max="14090" width="0" style="452" hidden="1" customWidth="1"/>
    <col min="14091" max="14091" width="14.88671875" style="452" customWidth="1"/>
    <col min="14092" max="14098" width="0" style="452" hidden="1" customWidth="1"/>
    <col min="14099" max="14333" width="9.21875" style="452"/>
    <col min="14334" max="14334" width="64.5546875" style="452" bestFit="1" customWidth="1"/>
    <col min="14335" max="14335" width="11.6640625" style="452" bestFit="1" customWidth="1"/>
    <col min="14336" max="14346" width="0" style="452" hidden="1" customWidth="1"/>
    <col min="14347" max="14347" width="14.88671875" style="452" customWidth="1"/>
    <col min="14348" max="14354" width="0" style="452" hidden="1" customWidth="1"/>
    <col min="14355" max="14589" width="9.21875" style="452"/>
    <col min="14590" max="14590" width="64.5546875" style="452" bestFit="1" customWidth="1"/>
    <col min="14591" max="14591" width="11.6640625" style="452" bestFit="1" customWidth="1"/>
    <col min="14592" max="14602" width="0" style="452" hidden="1" customWidth="1"/>
    <col min="14603" max="14603" width="14.88671875" style="452" customWidth="1"/>
    <col min="14604" max="14610" width="0" style="452" hidden="1" customWidth="1"/>
    <col min="14611" max="14845" width="9.21875" style="452"/>
    <col min="14846" max="14846" width="64.5546875" style="452" bestFit="1" customWidth="1"/>
    <col min="14847" max="14847" width="11.6640625" style="452" bestFit="1" customWidth="1"/>
    <col min="14848" max="14858" width="0" style="452" hidden="1" customWidth="1"/>
    <col min="14859" max="14859" width="14.88671875" style="452" customWidth="1"/>
    <col min="14860" max="14866" width="0" style="452" hidden="1" customWidth="1"/>
    <col min="14867" max="15101" width="9.21875" style="452"/>
    <col min="15102" max="15102" width="64.5546875" style="452" bestFit="1" customWidth="1"/>
    <col min="15103" max="15103" width="11.6640625" style="452" bestFit="1" customWidth="1"/>
    <col min="15104" max="15114" width="0" style="452" hidden="1" customWidth="1"/>
    <col min="15115" max="15115" width="14.88671875" style="452" customWidth="1"/>
    <col min="15116" max="15122" width="0" style="452" hidden="1" customWidth="1"/>
    <col min="15123" max="15357" width="9.21875" style="452"/>
    <col min="15358" max="15358" width="64.5546875" style="452" bestFit="1" customWidth="1"/>
    <col min="15359" max="15359" width="11.6640625" style="452" bestFit="1" customWidth="1"/>
    <col min="15360" max="15370" width="0" style="452" hidden="1" customWidth="1"/>
    <col min="15371" max="15371" width="14.88671875" style="452" customWidth="1"/>
    <col min="15372" max="15378" width="0" style="452" hidden="1" customWidth="1"/>
    <col min="15379" max="15613" width="9.21875" style="452"/>
    <col min="15614" max="15614" width="64.5546875" style="452" bestFit="1" customWidth="1"/>
    <col min="15615" max="15615" width="11.6640625" style="452" bestFit="1" customWidth="1"/>
    <col min="15616" max="15626" width="0" style="452" hidden="1" customWidth="1"/>
    <col min="15627" max="15627" width="14.88671875" style="452" customWidth="1"/>
    <col min="15628" max="15634" width="0" style="452" hidden="1" customWidth="1"/>
    <col min="15635" max="15869" width="9.21875" style="452"/>
    <col min="15870" max="15870" width="64.5546875" style="452" bestFit="1" customWidth="1"/>
    <col min="15871" max="15871" width="11.6640625" style="452" bestFit="1" customWidth="1"/>
    <col min="15872" max="15882" width="0" style="452" hidden="1" customWidth="1"/>
    <col min="15883" max="15883" width="14.88671875" style="452" customWidth="1"/>
    <col min="15884" max="15890" width="0" style="452" hidden="1" customWidth="1"/>
    <col min="15891" max="16125" width="9.21875" style="452"/>
    <col min="16126" max="16126" width="64.5546875" style="452" bestFit="1" customWidth="1"/>
    <col min="16127" max="16127" width="11.6640625" style="452" bestFit="1" customWidth="1"/>
    <col min="16128" max="16138" width="0" style="452" hidden="1" customWidth="1"/>
    <col min="16139" max="16139" width="14.88671875" style="452" customWidth="1"/>
    <col min="16140" max="16146" width="0" style="452" hidden="1" customWidth="1"/>
    <col min="16147" max="16384" width="9.21875" style="452"/>
  </cols>
  <sheetData>
    <row r="1" spans="1:14" s="450" customFormat="1" ht="16.2">
      <c r="A1" s="542" t="s">
        <v>302</v>
      </c>
      <c r="B1" s="543"/>
      <c r="C1" s="543"/>
      <c r="D1" s="543"/>
      <c r="E1" s="543"/>
      <c r="F1" s="543"/>
      <c r="G1" s="543"/>
      <c r="H1" s="543"/>
      <c r="I1" s="543"/>
      <c r="J1" s="543"/>
      <c r="K1" s="543"/>
      <c r="L1" s="543"/>
      <c r="M1" s="543"/>
      <c r="N1" s="543"/>
    </row>
    <row r="2" spans="1:14" s="450" customFormat="1" ht="15.6">
      <c r="A2" s="544" t="s">
        <v>303</v>
      </c>
      <c r="B2" s="545"/>
      <c r="C2" s="545"/>
      <c r="D2" s="545"/>
      <c r="E2" s="545"/>
      <c r="F2" s="545"/>
      <c r="G2" s="545"/>
      <c r="H2" s="545"/>
      <c r="I2" s="545"/>
      <c r="J2" s="545"/>
      <c r="K2" s="545"/>
      <c r="L2" s="545"/>
      <c r="M2" s="545"/>
      <c r="N2" s="545"/>
    </row>
    <row r="3" spans="1:14" s="450" customFormat="1" ht="15.6">
      <c r="A3" s="546" t="str">
        <f>'Fund 0888 '!R4</f>
        <v>July 2017</v>
      </c>
      <c r="B3" s="546"/>
      <c r="C3" s="546"/>
      <c r="D3" s="546"/>
      <c r="E3" s="546"/>
      <c r="F3" s="546"/>
      <c r="G3" s="546"/>
      <c r="H3" s="546"/>
      <c r="I3" s="546"/>
      <c r="J3" s="546"/>
      <c r="K3" s="546"/>
      <c r="L3" s="546"/>
      <c r="M3" s="546"/>
      <c r="N3" s="546"/>
    </row>
    <row r="4" spans="1:14" s="450" customFormat="1">
      <c r="A4" s="451"/>
      <c r="B4" s="451"/>
      <c r="C4" s="451"/>
      <c r="D4" s="451"/>
      <c r="E4" s="451"/>
      <c r="F4" s="451"/>
      <c r="G4" s="451"/>
      <c r="H4" s="437"/>
      <c r="I4" s="437"/>
      <c r="J4" s="437"/>
      <c r="K4" s="437"/>
      <c r="L4" s="437"/>
      <c r="M4" s="437"/>
      <c r="N4" s="437"/>
    </row>
    <row r="5" spans="1:14">
      <c r="A5" s="451"/>
      <c r="B5" s="451"/>
      <c r="C5" s="451"/>
      <c r="D5" s="451"/>
      <c r="E5" s="451"/>
      <c r="F5" s="451"/>
      <c r="G5" s="451"/>
      <c r="H5" s="445"/>
      <c r="I5" s="445"/>
      <c r="J5" s="445"/>
      <c r="K5" s="451"/>
      <c r="L5" s="451"/>
      <c r="M5" s="451"/>
      <c r="N5" s="451"/>
    </row>
    <row r="6" spans="1:14" ht="15.6">
      <c r="A6" s="107"/>
      <c r="B6" s="518"/>
      <c r="C6" s="518"/>
      <c r="D6" s="518"/>
      <c r="E6" s="518"/>
      <c r="F6" s="518"/>
      <c r="G6" s="518"/>
      <c r="H6" s="518"/>
      <c r="I6" s="518"/>
      <c r="J6" s="518"/>
      <c r="K6" s="518"/>
      <c r="L6" s="518"/>
      <c r="M6" s="518"/>
      <c r="N6" s="518" t="str">
        <f>'Fund 0888 '!N6</f>
        <v>FY 2017 YTD</v>
      </c>
    </row>
    <row r="7" spans="1:14" ht="16.2" thickBot="1">
      <c r="A7" s="107"/>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row>
    <row r="8" spans="1:14" ht="16.2" thickTop="1">
      <c r="A8" s="107"/>
      <c r="B8" s="107"/>
      <c r="C8" s="107"/>
      <c r="D8" s="107"/>
      <c r="E8" s="107"/>
      <c r="F8" s="107"/>
      <c r="G8" s="107"/>
      <c r="H8" s="101"/>
      <c r="I8" s="101"/>
      <c r="J8" s="101"/>
      <c r="K8" s="107"/>
      <c r="L8" s="107"/>
      <c r="M8" s="107"/>
      <c r="N8" s="107"/>
    </row>
    <row r="9" spans="1:14" ht="16.2" thickBot="1">
      <c r="A9" s="486" t="s">
        <v>300</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453">
        <f>+M33</f>
        <v>0</v>
      </c>
    </row>
    <row r="10" spans="1:14" ht="15.6">
      <c r="A10" s="107"/>
      <c r="B10" s="107"/>
      <c r="C10" s="107"/>
      <c r="D10" s="107"/>
      <c r="E10" s="107"/>
      <c r="F10" s="107"/>
      <c r="G10" s="107"/>
      <c r="H10" s="101"/>
      <c r="I10" s="101"/>
      <c r="J10" s="101"/>
      <c r="K10" s="107"/>
      <c r="L10" s="107"/>
      <c r="M10" s="107"/>
      <c r="N10" s="107"/>
    </row>
    <row r="11" spans="1:14" ht="15.6">
      <c r="A11" s="106" t="s">
        <v>299</v>
      </c>
      <c r="B11" s="107"/>
      <c r="C11" s="107"/>
      <c r="D11" s="107"/>
      <c r="E11" s="107"/>
      <c r="F11" s="107"/>
      <c r="G11" s="107"/>
      <c r="H11" s="101"/>
      <c r="I11" s="101"/>
      <c r="J11" s="101"/>
      <c r="K11" s="107"/>
      <c r="L11" s="107"/>
      <c r="M11" s="107"/>
      <c r="N11" s="107"/>
    </row>
    <row r="12" spans="1:14" ht="15.6">
      <c r="A12" s="107"/>
      <c r="B12" s="101"/>
      <c r="C12" s="101"/>
      <c r="D12" s="101"/>
      <c r="E12" s="101"/>
      <c r="F12" s="101"/>
      <c r="G12" s="101"/>
      <c r="H12" s="101"/>
      <c r="I12" s="101"/>
      <c r="J12" s="101"/>
      <c r="K12" s="101"/>
      <c r="L12" s="101"/>
      <c r="M12" s="101"/>
      <c r="N12" s="107"/>
    </row>
    <row r="13" spans="1:14" ht="15.6">
      <c r="A13" s="107" t="s">
        <v>304</v>
      </c>
      <c r="B13" s="107">
        <v>951.59</v>
      </c>
      <c r="C13" s="107">
        <v>3058.69</v>
      </c>
      <c r="D13" s="107">
        <v>985472.71</v>
      </c>
      <c r="E13" s="107">
        <v>18023.12</v>
      </c>
      <c r="F13" s="107">
        <v>509.7</v>
      </c>
      <c r="G13" s="107">
        <v>132020.18</v>
      </c>
      <c r="H13" s="107">
        <v>886207.24</v>
      </c>
      <c r="I13" s="107">
        <v>6202.22</v>
      </c>
      <c r="J13" s="107">
        <v>1104069.75</v>
      </c>
      <c r="K13" s="107">
        <v>2424.88</v>
      </c>
      <c r="L13" s="107">
        <v>0</v>
      </c>
      <c r="M13" s="107"/>
      <c r="N13" s="107">
        <f>ROUND(SUM(B13:M13),0)</f>
        <v>3138940</v>
      </c>
    </row>
    <row r="14" spans="1:14" ht="15.6">
      <c r="A14" s="110" t="s">
        <v>298</v>
      </c>
      <c r="B14" s="107">
        <v>8683.19</v>
      </c>
      <c r="C14" s="107">
        <v>8833.75</v>
      </c>
      <c r="D14" s="107">
        <v>9553.48</v>
      </c>
      <c r="E14" s="107">
        <v>8772.65</v>
      </c>
      <c r="F14" s="107">
        <v>9805.52</v>
      </c>
      <c r="G14" s="107">
        <v>10117.17</v>
      </c>
      <c r="H14" s="107">
        <v>7573.22</v>
      </c>
      <c r="I14" s="107">
        <v>7405.53</v>
      </c>
      <c r="J14" s="107">
        <v>7662.61</v>
      </c>
      <c r="K14" s="107">
        <v>0</v>
      </c>
      <c r="L14" s="107">
        <v>17501.919999999998</v>
      </c>
      <c r="M14" s="107"/>
      <c r="N14" s="107">
        <f>SUM(B14:M14)</f>
        <v>95909.04</v>
      </c>
    </row>
    <row r="15" spans="1:14" ht="15.6">
      <c r="A15" s="114" t="s">
        <v>305</v>
      </c>
      <c r="B15" s="107">
        <v>0</v>
      </c>
      <c r="C15" s="107">
        <v>0</v>
      </c>
      <c r="D15" s="107">
        <v>0</v>
      </c>
      <c r="E15" s="107">
        <v>0</v>
      </c>
      <c r="F15" s="107">
        <v>0</v>
      </c>
      <c r="G15" s="107">
        <v>0</v>
      </c>
      <c r="H15" s="107">
        <v>0</v>
      </c>
      <c r="I15" s="107">
        <v>0</v>
      </c>
      <c r="J15" s="107">
        <v>0</v>
      </c>
      <c r="K15" s="107">
        <v>0</v>
      </c>
      <c r="L15" s="107">
        <v>0</v>
      </c>
      <c r="M15" s="107"/>
      <c r="N15" s="107">
        <f>SUM(B15:M15)</f>
        <v>0</v>
      </c>
    </row>
    <row r="16" spans="1:14" ht="15.6">
      <c r="A16" s="107" t="s">
        <v>306</v>
      </c>
      <c r="B16" s="107">
        <v>0</v>
      </c>
      <c r="C16" s="107">
        <v>0</v>
      </c>
      <c r="D16" s="107">
        <v>0</v>
      </c>
      <c r="E16" s="107">
        <v>0</v>
      </c>
      <c r="F16" s="107">
        <v>0</v>
      </c>
      <c r="G16" s="107">
        <v>0</v>
      </c>
      <c r="H16" s="107">
        <v>0</v>
      </c>
      <c r="I16" s="107">
        <v>0</v>
      </c>
      <c r="J16" s="107">
        <v>0</v>
      </c>
      <c r="K16" s="107">
        <v>0</v>
      </c>
      <c r="L16" s="107">
        <v>0</v>
      </c>
      <c r="M16" s="107"/>
      <c r="N16" s="107">
        <f>SUM(B16:M16)</f>
        <v>0</v>
      </c>
    </row>
    <row r="17" spans="1:15" ht="15.6">
      <c r="A17" s="107" t="s">
        <v>385</v>
      </c>
      <c r="B17" s="107">
        <v>0</v>
      </c>
      <c r="C17" s="107">
        <v>0</v>
      </c>
      <c r="D17" s="107">
        <v>0</v>
      </c>
      <c r="E17" s="107">
        <v>11410309.189999999</v>
      </c>
      <c r="F17" s="107">
        <v>0</v>
      </c>
      <c r="G17" s="107">
        <v>0</v>
      </c>
      <c r="H17" s="101">
        <v>0</v>
      </c>
      <c r="I17" s="101">
        <v>0</v>
      </c>
      <c r="J17" s="101">
        <v>0</v>
      </c>
      <c r="K17" s="107">
        <v>0</v>
      </c>
      <c r="L17" s="107">
        <v>0</v>
      </c>
      <c r="M17" s="107"/>
      <c r="N17" s="107">
        <f>SUM(B17:M17)</f>
        <v>11410309.189999999</v>
      </c>
    </row>
    <row r="18" spans="1:15" ht="15.6">
      <c r="A18" s="107"/>
      <c r="B18" s="107"/>
      <c r="C18" s="107"/>
      <c r="D18" s="107"/>
      <c r="E18" s="107"/>
      <c r="F18" s="107"/>
      <c r="G18" s="107"/>
      <c r="H18" s="101"/>
      <c r="I18" s="101"/>
      <c r="J18" s="101"/>
      <c r="K18" s="107"/>
      <c r="L18" s="107"/>
      <c r="M18" s="107"/>
      <c r="N18" s="107"/>
    </row>
    <row r="19" spans="1:15" ht="15.6">
      <c r="A19" s="115" t="s">
        <v>307</v>
      </c>
      <c r="B19" s="107"/>
      <c r="C19" s="107"/>
      <c r="D19" s="107"/>
      <c r="E19" s="107"/>
      <c r="F19" s="107"/>
      <c r="G19" s="107"/>
      <c r="H19" s="101"/>
      <c r="I19" s="101"/>
      <c r="J19" s="101"/>
      <c r="K19" s="107"/>
      <c r="L19" s="107"/>
      <c r="M19" s="107"/>
      <c r="N19" s="107"/>
    </row>
    <row r="20" spans="1:15" ht="15.6">
      <c r="A20" s="107"/>
      <c r="B20" s="107"/>
      <c r="C20" s="107"/>
      <c r="D20" s="107"/>
      <c r="E20" s="107"/>
      <c r="F20" s="107"/>
      <c r="G20" s="107"/>
      <c r="H20" s="101"/>
      <c r="I20" s="101"/>
      <c r="J20" s="101"/>
      <c r="K20" s="107"/>
      <c r="L20" s="107"/>
      <c r="M20" s="107"/>
      <c r="N20" s="107"/>
    </row>
    <row r="21" spans="1:15" ht="15.6">
      <c r="A21" s="107"/>
      <c r="B21" s="107"/>
      <c r="C21" s="107"/>
      <c r="D21" s="107"/>
      <c r="E21" s="107"/>
      <c r="F21" s="107"/>
      <c r="G21" s="107"/>
      <c r="H21" s="101"/>
      <c r="I21" s="101"/>
      <c r="J21" s="101"/>
      <c r="K21" s="107"/>
      <c r="L21" s="107"/>
      <c r="M21" s="107"/>
      <c r="N21" s="107"/>
    </row>
    <row r="22" spans="1:15" ht="15.6">
      <c r="A22" s="107"/>
      <c r="B22" s="107"/>
      <c r="C22" s="107"/>
      <c r="D22" s="107"/>
      <c r="E22" s="107"/>
      <c r="F22" s="107"/>
      <c r="G22" s="107"/>
      <c r="H22" s="101"/>
      <c r="I22" s="101"/>
      <c r="J22" s="101"/>
      <c r="K22" s="107"/>
      <c r="L22" s="107"/>
      <c r="M22" s="107"/>
      <c r="N22" s="107"/>
    </row>
    <row r="23" spans="1:15" ht="15.6">
      <c r="A23" s="108" t="s">
        <v>294</v>
      </c>
      <c r="B23" s="116">
        <f>ROUND(SUM(B9:B16),0)</f>
        <v>9635</v>
      </c>
      <c r="C23" s="116">
        <f>ROUND(SUM(C9:C16),0)</f>
        <v>11892</v>
      </c>
      <c r="D23" s="116">
        <f>ROUND(SUM(D9:D16),0)</f>
        <v>995026</v>
      </c>
      <c r="E23" s="116">
        <f t="shared" ref="E23:N23" si="1">ROUND(SUM(E9:E22),0)</f>
        <v>11437105</v>
      </c>
      <c r="F23" s="116">
        <f t="shared" si="1"/>
        <v>10315</v>
      </c>
      <c r="G23" s="116">
        <f t="shared" si="1"/>
        <v>142137</v>
      </c>
      <c r="H23" s="116">
        <f t="shared" si="1"/>
        <v>893780</v>
      </c>
      <c r="I23" s="116">
        <f t="shared" si="1"/>
        <v>13608</v>
      </c>
      <c r="J23" s="116">
        <f t="shared" si="1"/>
        <v>1111732</v>
      </c>
      <c r="K23" s="116">
        <f t="shared" si="1"/>
        <v>2425</v>
      </c>
      <c r="L23" s="116">
        <f t="shared" si="1"/>
        <v>17502</v>
      </c>
      <c r="M23" s="116">
        <f t="shared" si="1"/>
        <v>0</v>
      </c>
      <c r="N23" s="116">
        <f t="shared" si="1"/>
        <v>14645158</v>
      </c>
      <c r="O23" s="454"/>
    </row>
    <row r="24" spans="1:15" ht="15.6">
      <c r="A24" s="107"/>
      <c r="B24" s="107"/>
      <c r="C24" s="107"/>
      <c r="D24" s="107"/>
      <c r="E24" s="107"/>
      <c r="F24" s="107"/>
      <c r="G24" s="107"/>
      <c r="H24" s="107"/>
      <c r="I24" s="107"/>
      <c r="J24" s="107"/>
      <c r="K24" s="107"/>
      <c r="L24" s="107"/>
      <c r="M24" s="107"/>
      <c r="N24" s="107"/>
    </row>
    <row r="25" spans="1:15" ht="15.6">
      <c r="A25" s="106" t="s">
        <v>293</v>
      </c>
      <c r="B25" s="107"/>
      <c r="C25" s="107"/>
      <c r="D25" s="107"/>
      <c r="E25" s="107"/>
      <c r="F25" s="107"/>
      <c r="G25" s="107"/>
      <c r="H25" s="107"/>
      <c r="I25" s="107"/>
      <c r="J25" s="107"/>
      <c r="K25" s="107"/>
      <c r="L25" s="107"/>
      <c r="M25" s="107"/>
      <c r="N25" s="107"/>
    </row>
    <row r="26" spans="1:15" ht="15.6">
      <c r="A26" s="117"/>
      <c r="B26" s="107"/>
      <c r="C26" s="107"/>
      <c r="D26" s="107"/>
      <c r="E26" s="107"/>
      <c r="F26" s="107"/>
      <c r="G26" s="107"/>
      <c r="H26" s="107"/>
      <c r="I26" s="107"/>
      <c r="J26" s="107"/>
      <c r="K26" s="107"/>
      <c r="L26" s="107"/>
      <c r="M26" s="107"/>
      <c r="N26" s="107"/>
    </row>
    <row r="27" spans="1:15" ht="15.6">
      <c r="A27" s="118" t="s">
        <v>308</v>
      </c>
      <c r="B27" s="107"/>
      <c r="C27" s="107"/>
      <c r="D27" s="107"/>
      <c r="E27" s="107"/>
      <c r="F27" s="107"/>
      <c r="G27" s="107"/>
      <c r="H27" s="107"/>
      <c r="I27" s="107"/>
      <c r="J27" s="107"/>
      <c r="K27" s="107"/>
      <c r="L27" s="107"/>
      <c r="M27" s="107"/>
      <c r="N27" s="107">
        <f>SUM(B27:M27)</f>
        <v>0</v>
      </c>
    </row>
    <row r="28" spans="1:15" ht="15.6">
      <c r="A28" s="107" t="s">
        <v>309</v>
      </c>
      <c r="B28" s="107">
        <v>0</v>
      </c>
      <c r="C28" s="107">
        <v>-21527</v>
      </c>
      <c r="D28" s="107">
        <v>-995026</v>
      </c>
      <c r="E28" s="107">
        <v>-4669148</v>
      </c>
      <c r="F28" s="107"/>
      <c r="G28" s="107"/>
      <c r="H28" s="107"/>
      <c r="I28" s="107"/>
      <c r="J28" s="107"/>
      <c r="K28" s="107"/>
      <c r="L28" s="107"/>
      <c r="M28" s="107"/>
      <c r="N28" s="107">
        <f>SUM(B28:M28)</f>
        <v>-5685701</v>
      </c>
    </row>
    <row r="29" spans="1:15" ht="15.6">
      <c r="A29" s="115"/>
      <c r="B29" s="107"/>
      <c r="C29" s="107"/>
      <c r="D29" s="107"/>
      <c r="E29" s="107"/>
      <c r="F29" s="107"/>
      <c r="G29" s="107"/>
      <c r="H29" s="107"/>
      <c r="I29" s="107"/>
      <c r="J29" s="107"/>
      <c r="K29" s="107"/>
      <c r="L29" s="107"/>
      <c r="M29" s="107"/>
      <c r="N29" s="107"/>
    </row>
    <row r="30" spans="1:15" ht="15.6">
      <c r="A30" s="115"/>
      <c r="B30" s="107"/>
      <c r="C30" s="107"/>
      <c r="D30" s="107"/>
      <c r="E30" s="107"/>
      <c r="F30" s="107"/>
      <c r="G30" s="107"/>
      <c r="H30" s="107"/>
      <c r="I30" s="107"/>
      <c r="J30" s="107"/>
      <c r="K30" s="107"/>
      <c r="L30" s="107"/>
      <c r="M30" s="107"/>
      <c r="N30" s="107"/>
    </row>
    <row r="31" spans="1:15" ht="15.6">
      <c r="A31" s="106" t="s">
        <v>291</v>
      </c>
      <c r="B31" s="116">
        <f t="shared" ref="B31:M31" si="2">SUM(B26:B28)</f>
        <v>0</v>
      </c>
      <c r="C31" s="116">
        <f t="shared" si="2"/>
        <v>-21527</v>
      </c>
      <c r="D31" s="116">
        <f t="shared" si="2"/>
        <v>-995026</v>
      </c>
      <c r="E31" s="116">
        <f t="shared" si="2"/>
        <v>-4669148</v>
      </c>
      <c r="F31" s="116">
        <f t="shared" si="2"/>
        <v>0</v>
      </c>
      <c r="G31" s="116">
        <f t="shared" si="2"/>
        <v>0</v>
      </c>
      <c r="H31" s="116">
        <f t="shared" si="2"/>
        <v>0</v>
      </c>
      <c r="I31" s="116">
        <f t="shared" si="2"/>
        <v>0</v>
      </c>
      <c r="J31" s="116">
        <f t="shared" si="2"/>
        <v>0</v>
      </c>
      <c r="K31" s="116">
        <f t="shared" si="2"/>
        <v>0</v>
      </c>
      <c r="L31" s="116">
        <f t="shared" si="2"/>
        <v>0</v>
      </c>
      <c r="M31" s="116">
        <f t="shared" si="2"/>
        <v>0</v>
      </c>
      <c r="N31" s="116">
        <f>SUM(N25:N30)</f>
        <v>-5685701</v>
      </c>
    </row>
    <row r="32" spans="1:15" ht="15.6">
      <c r="A32" s="107"/>
      <c r="B32" s="107"/>
      <c r="C32" s="107"/>
      <c r="D32" s="107"/>
      <c r="E32" s="107"/>
      <c r="F32" s="107"/>
      <c r="G32" s="107"/>
      <c r="H32" s="107"/>
      <c r="I32" s="107"/>
      <c r="J32" s="107"/>
      <c r="K32" s="107"/>
      <c r="L32" s="107"/>
      <c r="M32" s="107"/>
      <c r="N32" s="107"/>
    </row>
    <row r="33" spans="1:14" ht="16.2" thickBot="1">
      <c r="A33" s="486" t="s">
        <v>290</v>
      </c>
      <c r="B33" s="496">
        <f>+B9+B23+B31</f>
        <v>9635</v>
      </c>
      <c r="C33" s="496">
        <f t="shared" ref="C33:M33" si="3">+C23+C31</f>
        <v>-9635</v>
      </c>
      <c r="D33" s="496">
        <f t="shared" si="3"/>
        <v>0</v>
      </c>
      <c r="E33" s="496">
        <f t="shared" si="3"/>
        <v>6767957</v>
      </c>
      <c r="F33" s="496">
        <f t="shared" si="3"/>
        <v>10315</v>
      </c>
      <c r="G33" s="496">
        <f t="shared" si="3"/>
        <v>142137</v>
      </c>
      <c r="H33" s="496">
        <f t="shared" si="3"/>
        <v>893780</v>
      </c>
      <c r="I33" s="496">
        <f t="shared" si="3"/>
        <v>13608</v>
      </c>
      <c r="J33" s="496">
        <f t="shared" si="3"/>
        <v>1111732</v>
      </c>
      <c r="K33" s="496">
        <f t="shared" si="3"/>
        <v>2425</v>
      </c>
      <c r="L33" s="496">
        <f t="shared" si="3"/>
        <v>17502</v>
      </c>
      <c r="M33" s="496">
        <f t="shared" si="3"/>
        <v>0</v>
      </c>
      <c r="N33" s="496">
        <f>N23+N31</f>
        <v>8959457</v>
      </c>
    </row>
    <row r="34" spans="1:14" ht="15.6">
      <c r="A34" s="101"/>
      <c r="B34" s="101"/>
      <c r="C34" s="101"/>
      <c r="D34" s="101"/>
      <c r="E34" s="101"/>
      <c r="F34" s="101"/>
      <c r="G34" s="101"/>
      <c r="H34" s="101"/>
      <c r="I34" s="101"/>
      <c r="J34" s="101"/>
      <c r="K34" s="101"/>
      <c r="L34" s="101"/>
      <c r="M34" s="101"/>
      <c r="N34" s="101"/>
    </row>
    <row r="35" spans="1:14" ht="15.6">
      <c r="A35" s="101"/>
      <c r="B35" s="101"/>
      <c r="C35" s="101"/>
      <c r="D35" s="101"/>
      <c r="E35" s="101"/>
      <c r="F35" s="101"/>
      <c r="G35" s="101"/>
      <c r="H35" s="101"/>
      <c r="I35" s="101"/>
      <c r="J35" s="101"/>
      <c r="K35" s="101"/>
      <c r="L35" s="101"/>
      <c r="M35" s="101"/>
      <c r="N35" s="101"/>
    </row>
    <row r="36" spans="1:14" ht="15">
      <c r="A36" s="455"/>
      <c r="B36" s="455"/>
      <c r="C36" s="455"/>
      <c r="D36" s="455"/>
      <c r="E36" s="455"/>
      <c r="F36" s="455"/>
      <c r="G36" s="455"/>
      <c r="H36" s="455"/>
      <c r="I36" s="455"/>
      <c r="J36" s="455"/>
      <c r="K36" s="455"/>
      <c r="L36" s="455"/>
      <c r="M36" s="455"/>
      <c r="N36" s="455"/>
    </row>
    <row r="37" spans="1:14" ht="15">
      <c r="A37" s="455"/>
      <c r="B37" s="455"/>
      <c r="C37" s="455"/>
      <c r="D37" s="455"/>
      <c r="E37" s="455"/>
      <c r="F37" s="455"/>
      <c r="G37" s="455"/>
      <c r="H37" s="455"/>
      <c r="I37" s="455"/>
      <c r="J37" s="455"/>
      <c r="K37" s="455"/>
      <c r="L37" s="455"/>
      <c r="M37" s="455"/>
      <c r="N37" s="455"/>
    </row>
    <row r="38" spans="1:14" ht="15">
      <c r="A38" s="455"/>
      <c r="B38" s="455"/>
      <c r="C38" s="455"/>
      <c r="D38" s="455"/>
      <c r="E38" s="455"/>
      <c r="F38" s="455"/>
      <c r="G38" s="455"/>
      <c r="H38" s="455"/>
      <c r="I38" s="455"/>
      <c r="J38" s="455"/>
      <c r="K38" s="455"/>
      <c r="L38" s="455"/>
      <c r="M38" s="455"/>
      <c r="N38" s="455"/>
    </row>
    <row r="39" spans="1:14" ht="15">
      <c r="A39" s="455"/>
      <c r="B39" s="455"/>
      <c r="C39" s="455"/>
      <c r="D39" s="455"/>
      <c r="E39" s="455"/>
      <c r="F39" s="455"/>
      <c r="G39" s="455"/>
      <c r="H39" s="455"/>
      <c r="I39" s="455"/>
      <c r="J39" s="455"/>
      <c r="K39" s="455"/>
      <c r="L39" s="455"/>
      <c r="M39" s="455"/>
      <c r="N39" s="455"/>
    </row>
    <row r="40" spans="1:14" ht="15">
      <c r="A40" s="455"/>
      <c r="B40" s="455"/>
      <c r="C40" s="455"/>
      <c r="D40" s="455"/>
      <c r="E40" s="455"/>
      <c r="F40" s="455"/>
      <c r="G40" s="455"/>
      <c r="H40" s="455"/>
      <c r="I40" s="455"/>
      <c r="J40" s="455"/>
      <c r="K40" s="455"/>
      <c r="L40" s="455"/>
      <c r="M40" s="455"/>
      <c r="N40" s="455"/>
    </row>
    <row r="41" spans="1:14" ht="15">
      <c r="A41" s="455"/>
      <c r="B41" s="455"/>
      <c r="C41" s="455"/>
      <c r="D41" s="455"/>
      <c r="E41" s="455"/>
      <c r="F41" s="455"/>
      <c r="G41" s="455"/>
      <c r="H41" s="455"/>
      <c r="I41" s="455"/>
      <c r="J41" s="455"/>
      <c r="K41" s="455"/>
      <c r="L41" s="455"/>
      <c r="M41" s="455"/>
      <c r="N41" s="455"/>
    </row>
    <row r="42" spans="1:14" ht="15">
      <c r="A42" s="455"/>
      <c r="B42" s="455"/>
      <c r="C42" s="455"/>
      <c r="D42" s="455"/>
      <c r="E42" s="455"/>
      <c r="F42" s="455"/>
      <c r="G42" s="455"/>
      <c r="H42" s="455"/>
      <c r="I42" s="455"/>
      <c r="J42" s="455"/>
      <c r="K42" s="455"/>
      <c r="L42" s="455"/>
      <c r="M42" s="455"/>
      <c r="N42" s="455"/>
    </row>
    <row r="43" spans="1:14" ht="15">
      <c r="A43" s="455"/>
      <c r="B43" s="455"/>
      <c r="C43" s="455"/>
      <c r="D43" s="455"/>
      <c r="E43" s="455"/>
      <c r="F43" s="455"/>
      <c r="G43" s="455"/>
      <c r="H43" s="455"/>
      <c r="I43" s="455"/>
      <c r="J43" s="455"/>
      <c r="K43" s="455"/>
      <c r="L43" s="455"/>
      <c r="M43" s="455"/>
      <c r="N43" s="455"/>
    </row>
    <row r="44" spans="1:14" ht="15">
      <c r="A44" s="455"/>
      <c r="B44" s="455"/>
      <c r="C44" s="455"/>
      <c r="D44" s="455"/>
      <c r="E44" s="455"/>
      <c r="F44" s="455"/>
      <c r="G44" s="455"/>
      <c r="H44" s="455"/>
      <c r="I44" s="455"/>
      <c r="J44" s="455"/>
      <c r="K44" s="455"/>
      <c r="L44" s="455"/>
      <c r="M44" s="455"/>
      <c r="N44" s="455"/>
    </row>
    <row r="45" spans="1:14" ht="15">
      <c r="A45" s="455"/>
      <c r="B45" s="455"/>
      <c r="C45" s="455"/>
      <c r="D45" s="455"/>
      <c r="E45" s="455"/>
      <c r="F45" s="455"/>
      <c r="G45" s="455"/>
      <c r="H45" s="455"/>
      <c r="I45" s="455"/>
      <c r="J45" s="455"/>
      <c r="K45" s="455"/>
      <c r="L45" s="455"/>
      <c r="M45" s="455"/>
      <c r="N45" s="455"/>
    </row>
    <row r="46" spans="1:14" ht="15">
      <c r="A46" s="455"/>
      <c r="B46" s="455"/>
      <c r="C46" s="455"/>
      <c r="D46" s="455"/>
      <c r="E46" s="455"/>
      <c r="F46" s="455"/>
      <c r="G46" s="455"/>
      <c r="H46" s="455"/>
      <c r="I46" s="455"/>
      <c r="J46" s="455"/>
      <c r="K46" s="455"/>
      <c r="L46" s="455"/>
      <c r="M46" s="455"/>
      <c r="N46" s="455"/>
    </row>
    <row r="47" spans="1:14" ht="15">
      <c r="A47" s="455"/>
      <c r="B47" s="455"/>
      <c r="C47" s="455"/>
      <c r="D47" s="455"/>
      <c r="E47" s="455"/>
      <c r="F47" s="455"/>
      <c r="G47" s="455"/>
      <c r="H47" s="455"/>
      <c r="I47" s="455"/>
      <c r="J47" s="455"/>
      <c r="K47" s="455"/>
      <c r="L47" s="455"/>
      <c r="M47" s="455"/>
      <c r="N47" s="455"/>
    </row>
    <row r="48" spans="1:14" ht="15">
      <c r="A48" s="455"/>
      <c r="B48" s="455"/>
      <c r="C48" s="455"/>
      <c r="D48" s="455"/>
      <c r="E48" s="455"/>
      <c r="F48" s="455"/>
      <c r="G48" s="455"/>
      <c r="H48" s="455"/>
      <c r="I48" s="455"/>
      <c r="J48" s="455"/>
      <c r="K48" s="455"/>
      <c r="L48" s="455"/>
      <c r="M48" s="455"/>
      <c r="N48" s="455"/>
    </row>
    <row r="49" spans="1:14" ht="15">
      <c r="A49" s="455"/>
      <c r="B49" s="455"/>
      <c r="C49" s="455"/>
      <c r="D49" s="455"/>
      <c r="E49" s="455"/>
      <c r="F49" s="455"/>
      <c r="G49" s="455"/>
      <c r="H49" s="455"/>
      <c r="I49" s="455"/>
      <c r="J49" s="455"/>
      <c r="K49" s="455"/>
      <c r="L49" s="455"/>
      <c r="M49" s="455"/>
      <c r="N49" s="455"/>
    </row>
    <row r="50" spans="1:14" ht="15">
      <c r="A50" s="455"/>
      <c r="B50" s="455"/>
      <c r="C50" s="455"/>
      <c r="D50" s="455"/>
      <c r="E50" s="455"/>
      <c r="F50" s="455"/>
      <c r="G50" s="455"/>
      <c r="H50" s="455"/>
      <c r="I50" s="455"/>
      <c r="J50" s="455"/>
      <c r="K50" s="455"/>
      <c r="L50" s="455"/>
      <c r="M50" s="455"/>
      <c r="N50" s="455"/>
    </row>
    <row r="51" spans="1:14" ht="15">
      <c r="A51" s="455"/>
      <c r="B51" s="455"/>
      <c r="C51" s="455"/>
      <c r="D51" s="455"/>
      <c r="E51" s="455"/>
      <c r="F51" s="455"/>
      <c r="G51" s="455"/>
      <c r="H51" s="455"/>
      <c r="I51" s="455"/>
      <c r="J51" s="455"/>
      <c r="K51" s="455"/>
      <c r="L51" s="455"/>
      <c r="M51" s="455"/>
      <c r="N51" s="455"/>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42"/>
  <sheetViews>
    <sheetView zoomScale="85" zoomScaleNormal="85" zoomScaleSheetLayoutView="85" workbookViewId="0">
      <selection activeCell="M4" sqref="M1:M1048576"/>
    </sheetView>
  </sheetViews>
  <sheetFormatPr defaultColWidth="9.21875" defaultRowHeight="13.2"/>
  <cols>
    <col min="1" max="1" width="67.109375" style="445" customWidth="1"/>
    <col min="2" max="2" width="11.33203125" style="445" hidden="1" customWidth="1"/>
    <col min="3" max="3" width="11.44140625" style="445" hidden="1" customWidth="1"/>
    <col min="4" max="4" width="11.77734375" style="445" hidden="1" customWidth="1"/>
    <col min="5" max="5" width="11.6640625" style="445" hidden="1" customWidth="1"/>
    <col min="6" max="6" width="11.33203125" style="445" hidden="1" customWidth="1"/>
    <col min="7" max="7" width="12.77734375" style="445" hidden="1" customWidth="1"/>
    <col min="8" max="8" width="12.109375" style="445" hidden="1" customWidth="1"/>
    <col min="9" max="9" width="11.6640625" style="445" hidden="1" customWidth="1"/>
    <col min="10" max="10" width="12.109375" style="445" hidden="1" customWidth="1"/>
    <col min="11" max="11" width="11.44140625" style="445" hidden="1" customWidth="1"/>
    <col min="12" max="12" width="11.109375" style="445" bestFit="1" customWidth="1"/>
    <col min="13" max="13" width="11.77734375" style="445" hidden="1" customWidth="1"/>
    <col min="14" max="14" width="15.6640625" style="445" bestFit="1" customWidth="1"/>
    <col min="15" max="20" width="17.44140625" style="445" customWidth="1"/>
    <col min="21" max="21" width="9.21875" style="445" customWidth="1"/>
    <col min="22" max="253" width="9.21875" style="445"/>
    <col min="254" max="254" width="66.44140625" style="445" bestFit="1" customWidth="1"/>
    <col min="255" max="255" width="9.6640625" style="445" bestFit="1" customWidth="1"/>
    <col min="256" max="266" width="0" style="445" hidden="1" customWidth="1"/>
    <col min="267" max="267" width="14.88671875" style="445" bestFit="1" customWidth="1"/>
    <col min="268" max="272" width="0" style="445" hidden="1" customWidth="1"/>
    <col min="273" max="276" width="17.44140625" style="445" customWidth="1"/>
    <col min="277" max="509" width="9.21875" style="445"/>
    <col min="510" max="510" width="66.44140625" style="445" bestFit="1" customWidth="1"/>
    <col min="511" max="511" width="9.6640625" style="445" bestFit="1" customWidth="1"/>
    <col min="512" max="522" width="0" style="445" hidden="1" customWidth="1"/>
    <col min="523" max="523" width="14.88671875" style="445" bestFit="1" customWidth="1"/>
    <col min="524" max="528" width="0" style="445" hidden="1" customWidth="1"/>
    <col min="529" max="532" width="17.44140625" style="445" customWidth="1"/>
    <col min="533" max="765" width="9.21875" style="445"/>
    <col min="766" max="766" width="66.44140625" style="445" bestFit="1" customWidth="1"/>
    <col min="767" max="767" width="9.6640625" style="445" bestFit="1" customWidth="1"/>
    <col min="768" max="778" width="0" style="445" hidden="1" customWidth="1"/>
    <col min="779" max="779" width="14.88671875" style="445" bestFit="1" customWidth="1"/>
    <col min="780" max="784" width="0" style="445" hidden="1" customWidth="1"/>
    <col min="785" max="788" width="17.44140625" style="445" customWidth="1"/>
    <col min="789" max="1021" width="9.21875" style="445"/>
    <col min="1022" max="1022" width="66.44140625" style="445" bestFit="1" customWidth="1"/>
    <col min="1023" max="1023" width="9.6640625" style="445" bestFit="1" customWidth="1"/>
    <col min="1024" max="1034" width="0" style="445" hidden="1" customWidth="1"/>
    <col min="1035" max="1035" width="14.88671875" style="445" bestFit="1" customWidth="1"/>
    <col min="1036" max="1040" width="0" style="445" hidden="1" customWidth="1"/>
    <col min="1041" max="1044" width="17.44140625" style="445" customWidth="1"/>
    <col min="1045" max="1277" width="9.21875" style="445"/>
    <col min="1278" max="1278" width="66.44140625" style="445" bestFit="1" customWidth="1"/>
    <col min="1279" max="1279" width="9.6640625" style="445" bestFit="1" customWidth="1"/>
    <col min="1280" max="1290" width="0" style="445" hidden="1" customWidth="1"/>
    <col min="1291" max="1291" width="14.88671875" style="445" bestFit="1" customWidth="1"/>
    <col min="1292" max="1296" width="0" style="445" hidden="1" customWidth="1"/>
    <col min="1297" max="1300" width="17.44140625" style="445" customWidth="1"/>
    <col min="1301" max="1533" width="9.21875" style="445"/>
    <col min="1534" max="1534" width="66.44140625" style="445" bestFit="1" customWidth="1"/>
    <col min="1535" max="1535" width="9.6640625" style="445" bestFit="1" customWidth="1"/>
    <col min="1536" max="1546" width="0" style="445" hidden="1" customWidth="1"/>
    <col min="1547" max="1547" width="14.88671875" style="445" bestFit="1" customWidth="1"/>
    <col min="1548" max="1552" width="0" style="445" hidden="1" customWidth="1"/>
    <col min="1553" max="1556" width="17.44140625" style="445" customWidth="1"/>
    <col min="1557" max="1789" width="9.21875" style="445"/>
    <col min="1790" max="1790" width="66.44140625" style="445" bestFit="1" customWidth="1"/>
    <col min="1791" max="1791" width="9.6640625" style="445" bestFit="1" customWidth="1"/>
    <col min="1792" max="1802" width="0" style="445" hidden="1" customWidth="1"/>
    <col min="1803" max="1803" width="14.88671875" style="445" bestFit="1" customWidth="1"/>
    <col min="1804" max="1808" width="0" style="445" hidden="1" customWidth="1"/>
    <col min="1809" max="1812" width="17.44140625" style="445" customWidth="1"/>
    <col min="1813" max="2045" width="9.21875" style="445"/>
    <col min="2046" max="2046" width="66.44140625" style="445" bestFit="1" customWidth="1"/>
    <col min="2047" max="2047" width="9.6640625" style="445" bestFit="1" customWidth="1"/>
    <col min="2048" max="2058" width="0" style="445" hidden="1" customWidth="1"/>
    <col min="2059" max="2059" width="14.88671875" style="445" bestFit="1" customWidth="1"/>
    <col min="2060" max="2064" width="0" style="445" hidden="1" customWidth="1"/>
    <col min="2065" max="2068" width="17.44140625" style="445" customWidth="1"/>
    <col min="2069" max="2301" width="9.21875" style="445"/>
    <col min="2302" max="2302" width="66.44140625" style="445" bestFit="1" customWidth="1"/>
    <col min="2303" max="2303" width="9.6640625" style="445" bestFit="1" customWidth="1"/>
    <col min="2304" max="2314" width="0" style="445" hidden="1" customWidth="1"/>
    <col min="2315" max="2315" width="14.88671875" style="445" bestFit="1" customWidth="1"/>
    <col min="2316" max="2320" width="0" style="445" hidden="1" customWidth="1"/>
    <col min="2321" max="2324" width="17.44140625" style="445" customWidth="1"/>
    <col min="2325" max="2557" width="9.21875" style="445"/>
    <col min="2558" max="2558" width="66.44140625" style="445" bestFit="1" customWidth="1"/>
    <col min="2559" max="2559" width="9.6640625" style="445" bestFit="1" customWidth="1"/>
    <col min="2560" max="2570" width="0" style="445" hidden="1" customWidth="1"/>
    <col min="2571" max="2571" width="14.88671875" style="445" bestFit="1" customWidth="1"/>
    <col min="2572" max="2576" width="0" style="445" hidden="1" customWidth="1"/>
    <col min="2577" max="2580" width="17.44140625" style="445" customWidth="1"/>
    <col min="2581" max="2813" width="9.21875" style="445"/>
    <col min="2814" max="2814" width="66.44140625" style="445" bestFit="1" customWidth="1"/>
    <col min="2815" max="2815" width="9.6640625" style="445" bestFit="1" customWidth="1"/>
    <col min="2816" max="2826" width="0" style="445" hidden="1" customWidth="1"/>
    <col min="2827" max="2827" width="14.88671875" style="445" bestFit="1" customWidth="1"/>
    <col min="2828" max="2832" width="0" style="445" hidden="1" customWidth="1"/>
    <col min="2833" max="2836" width="17.44140625" style="445" customWidth="1"/>
    <col min="2837" max="3069" width="9.21875" style="445"/>
    <col min="3070" max="3070" width="66.44140625" style="445" bestFit="1" customWidth="1"/>
    <col min="3071" max="3071" width="9.6640625" style="445" bestFit="1" customWidth="1"/>
    <col min="3072" max="3082" width="0" style="445" hidden="1" customWidth="1"/>
    <col min="3083" max="3083" width="14.88671875" style="445" bestFit="1" customWidth="1"/>
    <col min="3084" max="3088" width="0" style="445" hidden="1" customWidth="1"/>
    <col min="3089" max="3092" width="17.44140625" style="445" customWidth="1"/>
    <col min="3093" max="3325" width="9.21875" style="445"/>
    <col min="3326" max="3326" width="66.44140625" style="445" bestFit="1" customWidth="1"/>
    <col min="3327" max="3327" width="9.6640625" style="445" bestFit="1" customWidth="1"/>
    <col min="3328" max="3338" width="0" style="445" hidden="1" customWidth="1"/>
    <col min="3339" max="3339" width="14.88671875" style="445" bestFit="1" customWidth="1"/>
    <col min="3340" max="3344" width="0" style="445" hidden="1" customWidth="1"/>
    <col min="3345" max="3348" width="17.44140625" style="445" customWidth="1"/>
    <col min="3349" max="3581" width="9.21875" style="445"/>
    <col min="3582" max="3582" width="66.44140625" style="445" bestFit="1" customWidth="1"/>
    <col min="3583" max="3583" width="9.6640625" style="445" bestFit="1" customWidth="1"/>
    <col min="3584" max="3594" width="0" style="445" hidden="1" customWidth="1"/>
    <col min="3595" max="3595" width="14.88671875" style="445" bestFit="1" customWidth="1"/>
    <col min="3596" max="3600" width="0" style="445" hidden="1" customWidth="1"/>
    <col min="3601" max="3604" width="17.44140625" style="445" customWidth="1"/>
    <col min="3605" max="3837" width="9.21875" style="445"/>
    <col min="3838" max="3838" width="66.44140625" style="445" bestFit="1" customWidth="1"/>
    <col min="3839" max="3839" width="9.6640625" style="445" bestFit="1" customWidth="1"/>
    <col min="3840" max="3850" width="0" style="445" hidden="1" customWidth="1"/>
    <col min="3851" max="3851" width="14.88671875" style="445" bestFit="1" customWidth="1"/>
    <col min="3852" max="3856" width="0" style="445" hidden="1" customWidth="1"/>
    <col min="3857" max="3860" width="17.44140625" style="445" customWidth="1"/>
    <col min="3861" max="4093" width="9.21875" style="445"/>
    <col min="4094" max="4094" width="66.44140625" style="445" bestFit="1" customWidth="1"/>
    <col min="4095" max="4095" width="9.6640625" style="445" bestFit="1" customWidth="1"/>
    <col min="4096" max="4106" width="0" style="445" hidden="1" customWidth="1"/>
    <col min="4107" max="4107" width="14.88671875" style="445" bestFit="1" customWidth="1"/>
    <col min="4108" max="4112" width="0" style="445" hidden="1" customWidth="1"/>
    <col min="4113" max="4116" width="17.44140625" style="445" customWidth="1"/>
    <col min="4117" max="4349" width="9.21875" style="445"/>
    <col min="4350" max="4350" width="66.44140625" style="445" bestFit="1" customWidth="1"/>
    <col min="4351" max="4351" width="9.6640625" style="445" bestFit="1" customWidth="1"/>
    <col min="4352" max="4362" width="0" style="445" hidden="1" customWidth="1"/>
    <col min="4363" max="4363" width="14.88671875" style="445" bestFit="1" customWidth="1"/>
    <col min="4364" max="4368" width="0" style="445" hidden="1" customWidth="1"/>
    <col min="4369" max="4372" width="17.44140625" style="445" customWidth="1"/>
    <col min="4373" max="4605" width="9.21875" style="445"/>
    <col min="4606" max="4606" width="66.44140625" style="445" bestFit="1" customWidth="1"/>
    <col min="4607" max="4607" width="9.6640625" style="445" bestFit="1" customWidth="1"/>
    <col min="4608" max="4618" width="0" style="445" hidden="1" customWidth="1"/>
    <col min="4619" max="4619" width="14.88671875" style="445" bestFit="1" customWidth="1"/>
    <col min="4620" max="4624" width="0" style="445" hidden="1" customWidth="1"/>
    <col min="4625" max="4628" width="17.44140625" style="445" customWidth="1"/>
    <col min="4629" max="4861" width="9.21875" style="445"/>
    <col min="4862" max="4862" width="66.44140625" style="445" bestFit="1" customWidth="1"/>
    <col min="4863" max="4863" width="9.6640625" style="445" bestFit="1" customWidth="1"/>
    <col min="4864" max="4874" width="0" style="445" hidden="1" customWidth="1"/>
    <col min="4875" max="4875" width="14.88671875" style="445" bestFit="1" customWidth="1"/>
    <col min="4876" max="4880" width="0" style="445" hidden="1" customWidth="1"/>
    <col min="4881" max="4884" width="17.44140625" style="445" customWidth="1"/>
    <col min="4885" max="5117" width="9.21875" style="445"/>
    <col min="5118" max="5118" width="66.44140625" style="445" bestFit="1" customWidth="1"/>
    <col min="5119" max="5119" width="9.6640625" style="445" bestFit="1" customWidth="1"/>
    <col min="5120" max="5130" width="0" style="445" hidden="1" customWidth="1"/>
    <col min="5131" max="5131" width="14.88671875" style="445" bestFit="1" customWidth="1"/>
    <col min="5132" max="5136" width="0" style="445" hidden="1" customWidth="1"/>
    <col min="5137" max="5140" width="17.44140625" style="445" customWidth="1"/>
    <col min="5141" max="5373" width="9.21875" style="445"/>
    <col min="5374" max="5374" width="66.44140625" style="445" bestFit="1" customWidth="1"/>
    <col min="5375" max="5375" width="9.6640625" style="445" bestFit="1" customWidth="1"/>
    <col min="5376" max="5386" width="0" style="445" hidden="1" customWidth="1"/>
    <col min="5387" max="5387" width="14.88671875" style="445" bestFit="1" customWidth="1"/>
    <col min="5388" max="5392" width="0" style="445" hidden="1" customWidth="1"/>
    <col min="5393" max="5396" width="17.44140625" style="445" customWidth="1"/>
    <col min="5397" max="5629" width="9.21875" style="445"/>
    <col min="5630" max="5630" width="66.44140625" style="445" bestFit="1" customWidth="1"/>
    <col min="5631" max="5631" width="9.6640625" style="445" bestFit="1" customWidth="1"/>
    <col min="5632" max="5642" width="0" style="445" hidden="1" customWidth="1"/>
    <col min="5643" max="5643" width="14.88671875" style="445" bestFit="1" customWidth="1"/>
    <col min="5644" max="5648" width="0" style="445" hidden="1" customWidth="1"/>
    <col min="5649" max="5652" width="17.44140625" style="445" customWidth="1"/>
    <col min="5653" max="5885" width="9.21875" style="445"/>
    <col min="5886" max="5886" width="66.44140625" style="445" bestFit="1" customWidth="1"/>
    <col min="5887" max="5887" width="9.6640625" style="445" bestFit="1" customWidth="1"/>
    <col min="5888" max="5898" width="0" style="445" hidden="1" customWidth="1"/>
    <col min="5899" max="5899" width="14.88671875" style="445" bestFit="1" customWidth="1"/>
    <col min="5900" max="5904" width="0" style="445" hidden="1" customWidth="1"/>
    <col min="5905" max="5908" width="17.44140625" style="445" customWidth="1"/>
    <col min="5909" max="6141" width="9.21875" style="445"/>
    <col min="6142" max="6142" width="66.44140625" style="445" bestFit="1" customWidth="1"/>
    <col min="6143" max="6143" width="9.6640625" style="445" bestFit="1" customWidth="1"/>
    <col min="6144" max="6154" width="0" style="445" hidden="1" customWidth="1"/>
    <col min="6155" max="6155" width="14.88671875" style="445" bestFit="1" customWidth="1"/>
    <col min="6156" max="6160" width="0" style="445" hidden="1" customWidth="1"/>
    <col min="6161" max="6164" width="17.44140625" style="445" customWidth="1"/>
    <col min="6165" max="6397" width="9.21875" style="445"/>
    <col min="6398" max="6398" width="66.44140625" style="445" bestFit="1" customWidth="1"/>
    <col min="6399" max="6399" width="9.6640625" style="445" bestFit="1" customWidth="1"/>
    <col min="6400" max="6410" width="0" style="445" hidden="1" customWidth="1"/>
    <col min="6411" max="6411" width="14.88671875" style="445" bestFit="1" customWidth="1"/>
    <col min="6412" max="6416" width="0" style="445" hidden="1" customWidth="1"/>
    <col min="6417" max="6420" width="17.44140625" style="445" customWidth="1"/>
    <col min="6421" max="6653" width="9.21875" style="445"/>
    <col min="6654" max="6654" width="66.44140625" style="445" bestFit="1" customWidth="1"/>
    <col min="6655" max="6655" width="9.6640625" style="445" bestFit="1" customWidth="1"/>
    <col min="6656" max="6666" width="0" style="445" hidden="1" customWidth="1"/>
    <col min="6667" max="6667" width="14.88671875" style="445" bestFit="1" customWidth="1"/>
    <col min="6668" max="6672" width="0" style="445" hidden="1" customWidth="1"/>
    <col min="6673" max="6676" width="17.44140625" style="445" customWidth="1"/>
    <col min="6677" max="6909" width="9.21875" style="445"/>
    <col min="6910" max="6910" width="66.44140625" style="445" bestFit="1" customWidth="1"/>
    <col min="6911" max="6911" width="9.6640625" style="445" bestFit="1" customWidth="1"/>
    <col min="6912" max="6922" width="0" style="445" hidden="1" customWidth="1"/>
    <col min="6923" max="6923" width="14.88671875" style="445" bestFit="1" customWidth="1"/>
    <col min="6924" max="6928" width="0" style="445" hidden="1" customWidth="1"/>
    <col min="6929" max="6932" width="17.44140625" style="445" customWidth="1"/>
    <col min="6933" max="7165" width="9.21875" style="445"/>
    <col min="7166" max="7166" width="66.44140625" style="445" bestFit="1" customWidth="1"/>
    <col min="7167" max="7167" width="9.6640625" style="445" bestFit="1" customWidth="1"/>
    <col min="7168" max="7178" width="0" style="445" hidden="1" customWidth="1"/>
    <col min="7179" max="7179" width="14.88671875" style="445" bestFit="1" customWidth="1"/>
    <col min="7180" max="7184" width="0" style="445" hidden="1" customWidth="1"/>
    <col min="7185" max="7188" width="17.44140625" style="445" customWidth="1"/>
    <col min="7189" max="7421" width="9.21875" style="445"/>
    <col min="7422" max="7422" width="66.44140625" style="445" bestFit="1" customWidth="1"/>
    <col min="7423" max="7423" width="9.6640625" style="445" bestFit="1" customWidth="1"/>
    <col min="7424" max="7434" width="0" style="445" hidden="1" customWidth="1"/>
    <col min="7435" max="7435" width="14.88671875" style="445" bestFit="1" customWidth="1"/>
    <col min="7436" max="7440" width="0" style="445" hidden="1" customWidth="1"/>
    <col min="7441" max="7444" width="17.44140625" style="445" customWidth="1"/>
    <col min="7445" max="7677" width="9.21875" style="445"/>
    <col min="7678" max="7678" width="66.44140625" style="445" bestFit="1" customWidth="1"/>
    <col min="7679" max="7679" width="9.6640625" style="445" bestFit="1" customWidth="1"/>
    <col min="7680" max="7690" width="0" style="445" hidden="1" customWidth="1"/>
    <col min="7691" max="7691" width="14.88671875" style="445" bestFit="1" customWidth="1"/>
    <col min="7692" max="7696" width="0" style="445" hidden="1" customWidth="1"/>
    <col min="7697" max="7700" width="17.44140625" style="445" customWidth="1"/>
    <col min="7701" max="7933" width="9.21875" style="445"/>
    <col min="7934" max="7934" width="66.44140625" style="445" bestFit="1" customWidth="1"/>
    <col min="7935" max="7935" width="9.6640625" style="445" bestFit="1" customWidth="1"/>
    <col min="7936" max="7946" width="0" style="445" hidden="1" customWidth="1"/>
    <col min="7947" max="7947" width="14.88671875" style="445" bestFit="1" customWidth="1"/>
    <col min="7948" max="7952" width="0" style="445" hidden="1" customWidth="1"/>
    <col min="7953" max="7956" width="17.44140625" style="445" customWidth="1"/>
    <col min="7957" max="8189" width="9.21875" style="445"/>
    <col min="8190" max="8190" width="66.44140625" style="445" bestFit="1" customWidth="1"/>
    <col min="8191" max="8191" width="9.6640625" style="445" bestFit="1" customWidth="1"/>
    <col min="8192" max="8202" width="0" style="445" hidden="1" customWidth="1"/>
    <col min="8203" max="8203" width="14.88671875" style="445" bestFit="1" customWidth="1"/>
    <col min="8204" max="8208" width="0" style="445" hidden="1" customWidth="1"/>
    <col min="8209" max="8212" width="17.44140625" style="445" customWidth="1"/>
    <col min="8213" max="8445" width="9.21875" style="445"/>
    <col min="8446" max="8446" width="66.44140625" style="445" bestFit="1" customWidth="1"/>
    <col min="8447" max="8447" width="9.6640625" style="445" bestFit="1" customWidth="1"/>
    <col min="8448" max="8458" width="0" style="445" hidden="1" customWidth="1"/>
    <col min="8459" max="8459" width="14.88671875" style="445" bestFit="1" customWidth="1"/>
    <col min="8460" max="8464" width="0" style="445" hidden="1" customWidth="1"/>
    <col min="8465" max="8468" width="17.44140625" style="445" customWidth="1"/>
    <col min="8469" max="8701" width="9.21875" style="445"/>
    <col min="8702" max="8702" width="66.44140625" style="445" bestFit="1" customWidth="1"/>
    <col min="8703" max="8703" width="9.6640625" style="445" bestFit="1" customWidth="1"/>
    <col min="8704" max="8714" width="0" style="445" hidden="1" customWidth="1"/>
    <col min="8715" max="8715" width="14.88671875" style="445" bestFit="1" customWidth="1"/>
    <col min="8716" max="8720" width="0" style="445" hidden="1" customWidth="1"/>
    <col min="8721" max="8724" width="17.44140625" style="445" customWidth="1"/>
    <col min="8725" max="8957" width="9.21875" style="445"/>
    <col min="8958" max="8958" width="66.44140625" style="445" bestFit="1" customWidth="1"/>
    <col min="8959" max="8959" width="9.6640625" style="445" bestFit="1" customWidth="1"/>
    <col min="8960" max="8970" width="0" style="445" hidden="1" customWidth="1"/>
    <col min="8971" max="8971" width="14.88671875" style="445" bestFit="1" customWidth="1"/>
    <col min="8972" max="8976" width="0" style="445" hidden="1" customWidth="1"/>
    <col min="8977" max="8980" width="17.44140625" style="445" customWidth="1"/>
    <col min="8981" max="9213" width="9.21875" style="445"/>
    <col min="9214" max="9214" width="66.44140625" style="445" bestFit="1" customWidth="1"/>
    <col min="9215" max="9215" width="9.6640625" style="445" bestFit="1" customWidth="1"/>
    <col min="9216" max="9226" width="0" style="445" hidden="1" customWidth="1"/>
    <col min="9227" max="9227" width="14.88671875" style="445" bestFit="1" customWidth="1"/>
    <col min="9228" max="9232" width="0" style="445" hidden="1" customWidth="1"/>
    <col min="9233" max="9236" width="17.44140625" style="445" customWidth="1"/>
    <col min="9237" max="9469" width="9.21875" style="445"/>
    <col min="9470" max="9470" width="66.44140625" style="445" bestFit="1" customWidth="1"/>
    <col min="9471" max="9471" width="9.6640625" style="445" bestFit="1" customWidth="1"/>
    <col min="9472" max="9482" width="0" style="445" hidden="1" customWidth="1"/>
    <col min="9483" max="9483" width="14.88671875" style="445" bestFit="1" customWidth="1"/>
    <col min="9484" max="9488" width="0" style="445" hidden="1" customWidth="1"/>
    <col min="9489" max="9492" width="17.44140625" style="445" customWidth="1"/>
    <col min="9493" max="9725" width="9.21875" style="445"/>
    <col min="9726" max="9726" width="66.44140625" style="445" bestFit="1" customWidth="1"/>
    <col min="9727" max="9727" width="9.6640625" style="445" bestFit="1" customWidth="1"/>
    <col min="9728" max="9738" width="0" style="445" hidden="1" customWidth="1"/>
    <col min="9739" max="9739" width="14.88671875" style="445" bestFit="1" customWidth="1"/>
    <col min="9740" max="9744" width="0" style="445" hidden="1" customWidth="1"/>
    <col min="9745" max="9748" width="17.44140625" style="445" customWidth="1"/>
    <col min="9749" max="9981" width="9.21875" style="445"/>
    <col min="9982" max="9982" width="66.44140625" style="445" bestFit="1" customWidth="1"/>
    <col min="9983" max="9983" width="9.6640625" style="445" bestFit="1" customWidth="1"/>
    <col min="9984" max="9994" width="0" style="445" hidden="1" customWidth="1"/>
    <col min="9995" max="9995" width="14.88671875" style="445" bestFit="1" customWidth="1"/>
    <col min="9996" max="10000" width="0" style="445" hidden="1" customWidth="1"/>
    <col min="10001" max="10004" width="17.44140625" style="445" customWidth="1"/>
    <col min="10005" max="10237" width="9.21875" style="445"/>
    <col min="10238" max="10238" width="66.44140625" style="445" bestFit="1" customWidth="1"/>
    <col min="10239" max="10239" width="9.6640625" style="445" bestFit="1" customWidth="1"/>
    <col min="10240" max="10250" width="0" style="445" hidden="1" customWidth="1"/>
    <col min="10251" max="10251" width="14.88671875" style="445" bestFit="1" customWidth="1"/>
    <col min="10252" max="10256" width="0" style="445" hidden="1" customWidth="1"/>
    <col min="10257" max="10260" width="17.44140625" style="445" customWidth="1"/>
    <col min="10261" max="10493" width="9.21875" style="445"/>
    <col min="10494" max="10494" width="66.44140625" style="445" bestFit="1" customWidth="1"/>
    <col min="10495" max="10495" width="9.6640625" style="445" bestFit="1" customWidth="1"/>
    <col min="10496" max="10506" width="0" style="445" hidden="1" customWidth="1"/>
    <col min="10507" max="10507" width="14.88671875" style="445" bestFit="1" customWidth="1"/>
    <col min="10508" max="10512" width="0" style="445" hidden="1" customWidth="1"/>
    <col min="10513" max="10516" width="17.44140625" style="445" customWidth="1"/>
    <col min="10517" max="10749" width="9.21875" style="445"/>
    <col min="10750" max="10750" width="66.44140625" style="445" bestFit="1" customWidth="1"/>
    <col min="10751" max="10751" width="9.6640625" style="445" bestFit="1" customWidth="1"/>
    <col min="10752" max="10762" width="0" style="445" hidden="1" customWidth="1"/>
    <col min="10763" max="10763" width="14.88671875" style="445" bestFit="1" customWidth="1"/>
    <col min="10764" max="10768" width="0" style="445" hidden="1" customWidth="1"/>
    <col min="10769" max="10772" width="17.44140625" style="445" customWidth="1"/>
    <col min="10773" max="11005" width="9.21875" style="445"/>
    <col min="11006" max="11006" width="66.44140625" style="445" bestFit="1" customWidth="1"/>
    <col min="11007" max="11007" width="9.6640625" style="445" bestFit="1" customWidth="1"/>
    <col min="11008" max="11018" width="0" style="445" hidden="1" customWidth="1"/>
    <col min="11019" max="11019" width="14.88671875" style="445" bestFit="1" customWidth="1"/>
    <col min="11020" max="11024" width="0" style="445" hidden="1" customWidth="1"/>
    <col min="11025" max="11028" width="17.44140625" style="445" customWidth="1"/>
    <col min="11029" max="11261" width="9.21875" style="445"/>
    <col min="11262" max="11262" width="66.44140625" style="445" bestFit="1" customWidth="1"/>
    <col min="11263" max="11263" width="9.6640625" style="445" bestFit="1" customWidth="1"/>
    <col min="11264" max="11274" width="0" style="445" hidden="1" customWidth="1"/>
    <col min="11275" max="11275" width="14.88671875" style="445" bestFit="1" customWidth="1"/>
    <col min="11276" max="11280" width="0" style="445" hidden="1" customWidth="1"/>
    <col min="11281" max="11284" width="17.44140625" style="445" customWidth="1"/>
    <col min="11285" max="11517" width="9.21875" style="445"/>
    <col min="11518" max="11518" width="66.44140625" style="445" bestFit="1" customWidth="1"/>
    <col min="11519" max="11519" width="9.6640625" style="445" bestFit="1" customWidth="1"/>
    <col min="11520" max="11530" width="0" style="445" hidden="1" customWidth="1"/>
    <col min="11531" max="11531" width="14.88671875" style="445" bestFit="1" customWidth="1"/>
    <col min="11532" max="11536" width="0" style="445" hidden="1" customWidth="1"/>
    <col min="11537" max="11540" width="17.44140625" style="445" customWidth="1"/>
    <col min="11541" max="11773" width="9.21875" style="445"/>
    <col min="11774" max="11774" width="66.44140625" style="445" bestFit="1" customWidth="1"/>
    <col min="11775" max="11775" width="9.6640625" style="445" bestFit="1" customWidth="1"/>
    <col min="11776" max="11786" width="0" style="445" hidden="1" customWidth="1"/>
    <col min="11787" max="11787" width="14.88671875" style="445" bestFit="1" customWidth="1"/>
    <col min="11788" max="11792" width="0" style="445" hidden="1" customWidth="1"/>
    <col min="11793" max="11796" width="17.44140625" style="445" customWidth="1"/>
    <col min="11797" max="12029" width="9.21875" style="445"/>
    <col min="12030" max="12030" width="66.44140625" style="445" bestFit="1" customWidth="1"/>
    <col min="12031" max="12031" width="9.6640625" style="445" bestFit="1" customWidth="1"/>
    <col min="12032" max="12042" width="0" style="445" hidden="1" customWidth="1"/>
    <col min="12043" max="12043" width="14.88671875" style="445" bestFit="1" customWidth="1"/>
    <col min="12044" max="12048" width="0" style="445" hidden="1" customWidth="1"/>
    <col min="12049" max="12052" width="17.44140625" style="445" customWidth="1"/>
    <col min="12053" max="12285" width="9.21875" style="445"/>
    <col min="12286" max="12286" width="66.44140625" style="445" bestFit="1" customWidth="1"/>
    <col min="12287" max="12287" width="9.6640625" style="445" bestFit="1" customWidth="1"/>
    <col min="12288" max="12298" width="0" style="445" hidden="1" customWidth="1"/>
    <col min="12299" max="12299" width="14.88671875" style="445" bestFit="1" customWidth="1"/>
    <col min="12300" max="12304" width="0" style="445" hidden="1" customWidth="1"/>
    <col min="12305" max="12308" width="17.44140625" style="445" customWidth="1"/>
    <col min="12309" max="12541" width="9.21875" style="445"/>
    <col min="12542" max="12542" width="66.44140625" style="445" bestFit="1" customWidth="1"/>
    <col min="12543" max="12543" width="9.6640625" style="445" bestFit="1" customWidth="1"/>
    <col min="12544" max="12554" width="0" style="445" hidden="1" customWidth="1"/>
    <col min="12555" max="12555" width="14.88671875" style="445" bestFit="1" customWidth="1"/>
    <col min="12556" max="12560" width="0" style="445" hidden="1" customWidth="1"/>
    <col min="12561" max="12564" width="17.44140625" style="445" customWidth="1"/>
    <col min="12565" max="12797" width="9.21875" style="445"/>
    <col min="12798" max="12798" width="66.44140625" style="445" bestFit="1" customWidth="1"/>
    <col min="12799" max="12799" width="9.6640625" style="445" bestFit="1" customWidth="1"/>
    <col min="12800" max="12810" width="0" style="445" hidden="1" customWidth="1"/>
    <col min="12811" max="12811" width="14.88671875" style="445" bestFit="1" customWidth="1"/>
    <col min="12812" max="12816" width="0" style="445" hidden="1" customWidth="1"/>
    <col min="12817" max="12820" width="17.44140625" style="445" customWidth="1"/>
    <col min="12821" max="13053" width="9.21875" style="445"/>
    <col min="13054" max="13054" width="66.44140625" style="445" bestFit="1" customWidth="1"/>
    <col min="13055" max="13055" width="9.6640625" style="445" bestFit="1" customWidth="1"/>
    <col min="13056" max="13066" width="0" style="445" hidden="1" customWidth="1"/>
    <col min="13067" max="13067" width="14.88671875" style="445" bestFit="1" customWidth="1"/>
    <col min="13068" max="13072" width="0" style="445" hidden="1" customWidth="1"/>
    <col min="13073" max="13076" width="17.44140625" style="445" customWidth="1"/>
    <col min="13077" max="13309" width="9.21875" style="445"/>
    <col min="13310" max="13310" width="66.44140625" style="445" bestFit="1" customWidth="1"/>
    <col min="13311" max="13311" width="9.6640625" style="445" bestFit="1" customWidth="1"/>
    <col min="13312" max="13322" width="0" style="445" hidden="1" customWidth="1"/>
    <col min="13323" max="13323" width="14.88671875" style="445" bestFit="1" customWidth="1"/>
    <col min="13324" max="13328" width="0" style="445" hidden="1" customWidth="1"/>
    <col min="13329" max="13332" width="17.44140625" style="445" customWidth="1"/>
    <col min="13333" max="13565" width="9.21875" style="445"/>
    <col min="13566" max="13566" width="66.44140625" style="445" bestFit="1" customWidth="1"/>
    <col min="13567" max="13567" width="9.6640625" style="445" bestFit="1" customWidth="1"/>
    <col min="13568" max="13578" width="0" style="445" hidden="1" customWidth="1"/>
    <col min="13579" max="13579" width="14.88671875" style="445" bestFit="1" customWidth="1"/>
    <col min="13580" max="13584" width="0" style="445" hidden="1" customWidth="1"/>
    <col min="13585" max="13588" width="17.44140625" style="445" customWidth="1"/>
    <col min="13589" max="13821" width="9.21875" style="445"/>
    <col min="13822" max="13822" width="66.44140625" style="445" bestFit="1" customWidth="1"/>
    <col min="13823" max="13823" width="9.6640625" style="445" bestFit="1" customWidth="1"/>
    <col min="13824" max="13834" width="0" style="445" hidden="1" customWidth="1"/>
    <col min="13835" max="13835" width="14.88671875" style="445" bestFit="1" customWidth="1"/>
    <col min="13836" max="13840" width="0" style="445" hidden="1" customWidth="1"/>
    <col min="13841" max="13844" width="17.44140625" style="445" customWidth="1"/>
    <col min="13845" max="14077" width="9.21875" style="445"/>
    <col min="14078" max="14078" width="66.44140625" style="445" bestFit="1" customWidth="1"/>
    <col min="14079" max="14079" width="9.6640625" style="445" bestFit="1" customWidth="1"/>
    <col min="14080" max="14090" width="0" style="445" hidden="1" customWidth="1"/>
    <col min="14091" max="14091" width="14.88671875" style="445" bestFit="1" customWidth="1"/>
    <col min="14092" max="14096" width="0" style="445" hidden="1" customWidth="1"/>
    <col min="14097" max="14100" width="17.44140625" style="445" customWidth="1"/>
    <col min="14101" max="14333" width="9.21875" style="445"/>
    <col min="14334" max="14334" width="66.44140625" style="445" bestFit="1" customWidth="1"/>
    <col min="14335" max="14335" width="9.6640625" style="445" bestFit="1" customWidth="1"/>
    <col min="14336" max="14346" width="0" style="445" hidden="1" customWidth="1"/>
    <col min="14347" max="14347" width="14.88671875" style="445" bestFit="1" customWidth="1"/>
    <col min="14348" max="14352" width="0" style="445" hidden="1" customWidth="1"/>
    <col min="14353" max="14356" width="17.44140625" style="445" customWidth="1"/>
    <col min="14357" max="14589" width="9.21875" style="445"/>
    <col min="14590" max="14590" width="66.44140625" style="445" bestFit="1" customWidth="1"/>
    <col min="14591" max="14591" width="9.6640625" style="445" bestFit="1" customWidth="1"/>
    <col min="14592" max="14602" width="0" style="445" hidden="1" customWidth="1"/>
    <col min="14603" max="14603" width="14.88671875" style="445" bestFit="1" customWidth="1"/>
    <col min="14604" max="14608" width="0" style="445" hidden="1" customWidth="1"/>
    <col min="14609" max="14612" width="17.44140625" style="445" customWidth="1"/>
    <col min="14613" max="14845" width="9.21875" style="445"/>
    <col min="14846" max="14846" width="66.44140625" style="445" bestFit="1" customWidth="1"/>
    <col min="14847" max="14847" width="9.6640625" style="445" bestFit="1" customWidth="1"/>
    <col min="14848" max="14858" width="0" style="445" hidden="1" customWidth="1"/>
    <col min="14859" max="14859" width="14.88671875" style="445" bestFit="1" customWidth="1"/>
    <col min="14860" max="14864" width="0" style="445" hidden="1" customWidth="1"/>
    <col min="14865" max="14868" width="17.44140625" style="445" customWidth="1"/>
    <col min="14869" max="15101" width="9.21875" style="445"/>
    <col min="15102" max="15102" width="66.44140625" style="445" bestFit="1" customWidth="1"/>
    <col min="15103" max="15103" width="9.6640625" style="445" bestFit="1" customWidth="1"/>
    <col min="15104" max="15114" width="0" style="445" hidden="1" customWidth="1"/>
    <col min="15115" max="15115" width="14.88671875" style="445" bestFit="1" customWidth="1"/>
    <col min="15116" max="15120" width="0" style="445" hidden="1" customWidth="1"/>
    <col min="15121" max="15124" width="17.44140625" style="445" customWidth="1"/>
    <col min="15125" max="15357" width="9.21875" style="445"/>
    <col min="15358" max="15358" width="66.44140625" style="445" bestFit="1" customWidth="1"/>
    <col min="15359" max="15359" width="9.6640625" style="445" bestFit="1" customWidth="1"/>
    <col min="15360" max="15370" width="0" style="445" hidden="1" customWidth="1"/>
    <col min="15371" max="15371" width="14.88671875" style="445" bestFit="1" customWidth="1"/>
    <col min="15372" max="15376" width="0" style="445" hidden="1" customWidth="1"/>
    <col min="15377" max="15380" width="17.44140625" style="445" customWidth="1"/>
    <col min="15381" max="15613" width="9.21875" style="445"/>
    <col min="15614" max="15614" width="66.44140625" style="445" bestFit="1" customWidth="1"/>
    <col min="15615" max="15615" width="9.6640625" style="445" bestFit="1" customWidth="1"/>
    <col min="15616" max="15626" width="0" style="445" hidden="1" customWidth="1"/>
    <col min="15627" max="15627" width="14.88671875" style="445" bestFit="1" customWidth="1"/>
    <col min="15628" max="15632" width="0" style="445" hidden="1" customWidth="1"/>
    <col min="15633" max="15636" width="17.44140625" style="445" customWidth="1"/>
    <col min="15637" max="15869" width="9.21875" style="445"/>
    <col min="15870" max="15870" width="66.44140625" style="445" bestFit="1" customWidth="1"/>
    <col min="15871" max="15871" width="9.6640625" style="445" bestFit="1" customWidth="1"/>
    <col min="15872" max="15882" width="0" style="445" hidden="1" customWidth="1"/>
    <col min="15883" max="15883" width="14.88671875" style="445" bestFit="1" customWidth="1"/>
    <col min="15884" max="15888" width="0" style="445" hidden="1" customWidth="1"/>
    <col min="15889" max="15892" width="17.44140625" style="445" customWidth="1"/>
    <col min="15893" max="16125" width="9.21875" style="445"/>
    <col min="16126" max="16126" width="66.44140625" style="445" bestFit="1" customWidth="1"/>
    <col min="16127" max="16127" width="9.6640625" style="445" bestFit="1" customWidth="1"/>
    <col min="16128" max="16138" width="0" style="445" hidden="1" customWidth="1"/>
    <col min="16139" max="16139" width="14.88671875" style="445" bestFit="1" customWidth="1"/>
    <col min="16140" max="16144" width="0" style="445" hidden="1" customWidth="1"/>
    <col min="16145" max="16148" width="17.44140625" style="445" customWidth="1"/>
    <col min="16149" max="16384" width="9.21875" style="445"/>
  </cols>
  <sheetData>
    <row r="1" spans="1:15" s="437" customFormat="1" ht="16.2">
      <c r="A1" s="542" t="s">
        <v>302</v>
      </c>
      <c r="B1" s="543"/>
      <c r="C1" s="543"/>
      <c r="D1" s="543"/>
      <c r="E1" s="543"/>
      <c r="F1" s="543"/>
      <c r="G1" s="543"/>
      <c r="H1" s="543"/>
      <c r="I1" s="543"/>
      <c r="J1" s="543"/>
      <c r="K1" s="543"/>
      <c r="L1" s="543"/>
      <c r="M1" s="543"/>
      <c r="N1" s="543"/>
      <c r="O1" s="445"/>
    </row>
    <row r="2" spans="1:15" s="437" customFormat="1" ht="15.6">
      <c r="A2" s="544" t="s">
        <v>310</v>
      </c>
      <c r="B2" s="545"/>
      <c r="C2" s="545"/>
      <c r="D2" s="545"/>
      <c r="E2" s="545"/>
      <c r="F2" s="545"/>
      <c r="G2" s="545"/>
      <c r="H2" s="545"/>
      <c r="I2" s="545"/>
      <c r="J2" s="545"/>
      <c r="K2" s="545"/>
      <c r="L2" s="545"/>
      <c r="M2" s="545"/>
      <c r="N2" s="545"/>
      <c r="O2" s="445"/>
    </row>
    <row r="3" spans="1:15" s="437" customFormat="1" ht="15.6">
      <c r="A3" s="546" t="str">
        <f>'Fund 0888 '!R4</f>
        <v>July 2017</v>
      </c>
      <c r="B3" s="547"/>
      <c r="C3" s="547"/>
      <c r="D3" s="547"/>
      <c r="E3" s="547"/>
      <c r="F3" s="547"/>
      <c r="G3" s="547"/>
      <c r="H3" s="547"/>
      <c r="I3" s="547"/>
      <c r="J3" s="547"/>
      <c r="K3" s="547"/>
      <c r="L3" s="547"/>
      <c r="M3" s="547"/>
      <c r="N3" s="547"/>
      <c r="O3" s="445"/>
    </row>
    <row r="4" spans="1:15" s="437" customFormat="1">
      <c r="A4" s="451"/>
      <c r="B4" s="451"/>
      <c r="C4" s="451"/>
      <c r="D4" s="451"/>
      <c r="E4" s="451"/>
      <c r="F4" s="451"/>
      <c r="G4" s="451"/>
      <c r="O4" s="445"/>
    </row>
    <row r="5" spans="1:15">
      <c r="A5" s="451"/>
      <c r="B5" s="451"/>
      <c r="C5" s="451"/>
      <c r="D5" s="451"/>
      <c r="E5" s="451"/>
      <c r="F5" s="451"/>
      <c r="G5" s="451"/>
      <c r="K5" s="451"/>
      <c r="L5" s="451"/>
      <c r="M5" s="451"/>
      <c r="N5" s="451"/>
    </row>
    <row r="6" spans="1:15" ht="15.6">
      <c r="A6" s="107"/>
      <c r="B6" s="518"/>
      <c r="C6" s="518"/>
      <c r="D6" s="518"/>
      <c r="E6" s="518"/>
      <c r="F6" s="518"/>
      <c r="G6" s="518"/>
      <c r="H6" s="518"/>
      <c r="I6" s="518"/>
      <c r="J6" s="518"/>
      <c r="K6" s="518"/>
      <c r="L6" s="518"/>
      <c r="M6" s="518"/>
      <c r="N6" s="518" t="str">
        <f>'Fund 0888 '!N6</f>
        <v>FY 2017 YTD</v>
      </c>
    </row>
    <row r="7" spans="1:15" ht="16.2" thickBot="1">
      <c r="A7" s="107"/>
      <c r="B7" s="447" t="str">
        <f>"Sep 20"&amp;'Fund 0888 '!R10</f>
        <v>Sep 2016</v>
      </c>
      <c r="C7" s="482" t="str">
        <f>"Oct 20"&amp;'Fund 0888 '!R10</f>
        <v>Oct 2016</v>
      </c>
      <c r="D7" s="482" t="str">
        <f>"Nov 20"&amp;'Fund 0888 '!S10</f>
        <v>Nov 2016</v>
      </c>
      <c r="E7" s="482" t="str">
        <f>"Dec 2016"&amp;'Fund 0888 '!T10</f>
        <v>Dec 2016</v>
      </c>
      <c r="F7" s="482" t="str">
        <f>"Jan 2017"&amp;'Fund 0888 '!U10</f>
        <v>Jan 2017</v>
      </c>
      <c r="G7" s="482" t="str">
        <f>"Feb 2017"&amp;'Fund 0888 '!V10</f>
        <v>Feb 2017</v>
      </c>
      <c r="H7" s="482" t="str">
        <f>"Mar 2017"&amp;'Fund 0888 '!W10</f>
        <v>Mar 2017</v>
      </c>
      <c r="I7" s="482" t="str">
        <f>"Apr 2017"&amp;'Fund 0888 '!X10</f>
        <v>Apr 2017</v>
      </c>
      <c r="J7" s="482" t="str">
        <f>"May 2016"&amp;'Fund 0888 '!Y10</f>
        <v>May 2016</v>
      </c>
      <c r="K7" s="482" t="str">
        <f>"Jun 2017"&amp;'Fund 0888 '!Z10</f>
        <v>Jun 2017</v>
      </c>
      <c r="L7" s="482" t="str">
        <f>"Jul 2017"&amp;'Fund 0888 '!AA10</f>
        <v>Jul 2017</v>
      </c>
      <c r="M7" s="482" t="str">
        <f>"Aug 2017"&amp;'Fund 0888 '!AB10</f>
        <v>Aug 2017</v>
      </c>
      <c r="N7" s="519">
        <f>'Fund 0888 '!S7</f>
        <v>42947</v>
      </c>
    </row>
    <row r="8" spans="1:15" ht="16.2" thickTop="1">
      <c r="A8" s="107"/>
      <c r="B8" s="107"/>
      <c r="C8" s="107"/>
      <c r="D8" s="107"/>
      <c r="E8" s="107"/>
      <c r="F8" s="107"/>
      <c r="G8" s="107"/>
      <c r="H8" s="101"/>
      <c r="I8" s="119"/>
      <c r="J8" s="119"/>
      <c r="K8" s="107"/>
      <c r="L8" s="107"/>
      <c r="M8" s="107"/>
      <c r="N8" s="107"/>
    </row>
    <row r="9" spans="1:15" ht="16.2" thickBot="1">
      <c r="A9" s="486" t="s">
        <v>300</v>
      </c>
      <c r="B9" s="113">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row>
    <row r="10" spans="1:15" ht="15.6">
      <c r="A10" s="107"/>
      <c r="B10" s="107"/>
      <c r="C10" s="107"/>
      <c r="D10" s="107"/>
      <c r="E10" s="107"/>
      <c r="F10" s="107"/>
      <c r="G10" s="107"/>
      <c r="H10" s="101"/>
      <c r="I10" s="101"/>
      <c r="J10" s="101"/>
      <c r="K10" s="107"/>
      <c r="L10" s="107"/>
      <c r="M10" s="107"/>
      <c r="N10" s="107"/>
    </row>
    <row r="11" spans="1:15" ht="15.6">
      <c r="A11" s="106" t="s">
        <v>299</v>
      </c>
      <c r="B11" s="107"/>
      <c r="C11" s="107"/>
      <c r="D11" s="107"/>
      <c r="E11" s="107"/>
      <c r="F11" s="107"/>
      <c r="G11" s="107"/>
      <c r="H11" s="101"/>
      <c r="I11" s="101"/>
      <c r="J11" s="101"/>
      <c r="K11" s="107"/>
      <c r="L11" s="107"/>
      <c r="M11" s="107"/>
      <c r="N11" s="107"/>
    </row>
    <row r="12" spans="1:15" ht="15.6">
      <c r="A12" s="107"/>
      <c r="B12" s="107"/>
      <c r="C12" s="107"/>
      <c r="D12" s="107"/>
      <c r="E12" s="107"/>
      <c r="F12" s="107"/>
      <c r="G12" s="107"/>
      <c r="H12" s="101"/>
      <c r="I12" s="101"/>
      <c r="J12" s="101"/>
      <c r="K12" s="107"/>
      <c r="L12" s="107"/>
      <c r="M12" s="107"/>
      <c r="N12" s="107"/>
    </row>
    <row r="13" spans="1:15" ht="15.6">
      <c r="A13" s="107" t="s">
        <v>311</v>
      </c>
      <c r="B13" s="107"/>
      <c r="C13" s="107"/>
      <c r="D13" s="107"/>
      <c r="E13" s="107"/>
      <c r="F13" s="107"/>
      <c r="G13" s="107"/>
      <c r="H13" s="107"/>
      <c r="I13" s="107"/>
      <c r="J13" s="107"/>
      <c r="K13" s="107"/>
      <c r="L13" s="107"/>
      <c r="M13" s="107"/>
      <c r="N13" s="107">
        <f>SUM(B13:M13)</f>
        <v>0</v>
      </c>
    </row>
    <row r="14" spans="1:15" ht="15.6">
      <c r="A14" s="110" t="s">
        <v>312</v>
      </c>
      <c r="B14" s="107"/>
      <c r="C14" s="107"/>
      <c r="D14" s="107"/>
      <c r="E14" s="107"/>
      <c r="F14" s="107"/>
      <c r="G14" s="107"/>
      <c r="H14" s="107"/>
      <c r="I14" s="107"/>
      <c r="J14" s="107"/>
      <c r="K14" s="107"/>
      <c r="L14" s="107"/>
      <c r="M14" s="107"/>
      <c r="N14" s="107">
        <f>SUM(B14:M14)</f>
        <v>0</v>
      </c>
    </row>
    <row r="15" spans="1:15" ht="15.6">
      <c r="A15" s="107" t="s">
        <v>313</v>
      </c>
      <c r="B15" s="107">
        <v>0</v>
      </c>
      <c r="C15" s="101">
        <v>21527</v>
      </c>
      <c r="D15" s="107">
        <v>995026</v>
      </c>
      <c r="E15" s="107">
        <v>0</v>
      </c>
      <c r="F15" s="107">
        <v>0</v>
      </c>
      <c r="G15" s="107">
        <v>4669148</v>
      </c>
      <c r="H15" s="107">
        <v>0</v>
      </c>
      <c r="I15" s="107">
        <v>0</v>
      </c>
      <c r="J15" s="107">
        <v>0</v>
      </c>
      <c r="K15" s="107">
        <v>0</v>
      </c>
      <c r="L15" s="107"/>
      <c r="M15" s="107"/>
      <c r="N15" s="107">
        <f>SUM(B15:M15)</f>
        <v>5685701</v>
      </c>
    </row>
    <row r="16" spans="1:15" ht="15.6">
      <c r="A16" s="107"/>
      <c r="B16" s="107"/>
      <c r="C16" s="107"/>
      <c r="D16" s="107"/>
      <c r="E16" s="107"/>
      <c r="F16" s="107"/>
      <c r="G16" s="107"/>
      <c r="H16" s="101"/>
      <c r="I16" s="101"/>
      <c r="J16" s="101"/>
      <c r="K16" s="107"/>
      <c r="L16" s="107"/>
      <c r="M16" s="107"/>
      <c r="N16" s="107"/>
    </row>
    <row r="17" spans="1:14" ht="15.6">
      <c r="A17" s="107"/>
      <c r="B17" s="107"/>
      <c r="C17" s="107"/>
      <c r="D17" s="107"/>
      <c r="E17" s="107"/>
      <c r="F17" s="107"/>
      <c r="G17" s="107"/>
      <c r="H17" s="101"/>
      <c r="I17" s="101"/>
      <c r="J17" s="101"/>
      <c r="K17" s="107"/>
      <c r="L17" s="107"/>
      <c r="M17" s="107"/>
      <c r="N17" s="107"/>
    </row>
    <row r="18" spans="1:14" ht="15.6">
      <c r="A18" s="115" t="s">
        <v>307</v>
      </c>
      <c r="B18" s="107"/>
      <c r="C18" s="107"/>
      <c r="D18" s="107"/>
      <c r="E18" s="107"/>
      <c r="F18" s="107"/>
      <c r="G18" s="107"/>
      <c r="H18" s="101"/>
      <c r="I18" s="101"/>
      <c r="J18" s="101"/>
      <c r="K18" s="107"/>
      <c r="L18" s="107"/>
      <c r="M18" s="107"/>
      <c r="N18" s="107">
        <f>ROUND(SUM(B18:M18),0)</f>
        <v>0</v>
      </c>
    </row>
    <row r="19" spans="1:14" ht="15.6">
      <c r="A19" s="107"/>
      <c r="B19" s="107"/>
      <c r="C19" s="107"/>
      <c r="D19" s="107"/>
      <c r="E19" s="107"/>
      <c r="F19" s="107"/>
      <c r="G19" s="107"/>
      <c r="H19" s="101"/>
      <c r="I19" s="101"/>
      <c r="J19" s="101"/>
      <c r="K19" s="107"/>
      <c r="L19" s="107"/>
      <c r="M19" s="107"/>
      <c r="N19" s="107">
        <f>ROUND(SUM(B19:M19),0)</f>
        <v>0</v>
      </c>
    </row>
    <row r="20" spans="1:14" ht="15.6">
      <c r="A20" s="107"/>
      <c r="B20" s="107"/>
      <c r="C20" s="107"/>
      <c r="D20" s="107"/>
      <c r="E20" s="107"/>
      <c r="F20" s="107"/>
      <c r="G20" s="107"/>
      <c r="H20" s="107"/>
      <c r="I20" s="107"/>
      <c r="J20" s="107"/>
      <c r="K20" s="107"/>
      <c r="L20" s="107"/>
      <c r="M20" s="107"/>
      <c r="N20" s="107">
        <f>ROUND(SUM(B20:M20),0)</f>
        <v>0</v>
      </c>
    </row>
    <row r="21" spans="1:14" ht="15.6">
      <c r="A21" s="107"/>
      <c r="B21" s="107"/>
      <c r="C21" s="107"/>
      <c r="D21" s="107"/>
      <c r="E21" s="107"/>
      <c r="F21" s="107"/>
      <c r="G21" s="107"/>
      <c r="H21" s="101"/>
      <c r="I21" s="101"/>
      <c r="J21" s="101"/>
      <c r="K21" s="107"/>
      <c r="L21" s="107"/>
      <c r="M21" s="107"/>
      <c r="N21" s="107"/>
    </row>
    <row r="22" spans="1:14" ht="15.6">
      <c r="A22" s="107"/>
      <c r="B22" s="107"/>
      <c r="C22" s="107"/>
      <c r="D22" s="107"/>
      <c r="E22" s="107"/>
      <c r="F22" s="107"/>
      <c r="G22" s="107"/>
      <c r="H22" s="101"/>
      <c r="I22" s="101"/>
      <c r="J22" s="101"/>
      <c r="K22" s="107"/>
      <c r="L22" s="107"/>
      <c r="M22" s="107"/>
      <c r="N22" s="107"/>
    </row>
    <row r="23" spans="1:14" ht="15.6">
      <c r="A23" s="108" t="s">
        <v>294</v>
      </c>
      <c r="B23" s="116">
        <f t="shared" ref="B23:N23" si="1">ROUND((SUM(B11:B15)),0)</f>
        <v>0</v>
      </c>
      <c r="C23" s="116">
        <f t="shared" si="1"/>
        <v>21527</v>
      </c>
      <c r="D23" s="116">
        <f t="shared" si="1"/>
        <v>995026</v>
      </c>
      <c r="E23" s="116">
        <f t="shared" si="1"/>
        <v>0</v>
      </c>
      <c r="F23" s="116">
        <f t="shared" si="1"/>
        <v>0</v>
      </c>
      <c r="G23" s="116">
        <f t="shared" si="1"/>
        <v>4669148</v>
      </c>
      <c r="H23" s="116">
        <f t="shared" si="1"/>
        <v>0</v>
      </c>
      <c r="I23" s="116">
        <f t="shared" si="1"/>
        <v>0</v>
      </c>
      <c r="J23" s="116">
        <f t="shared" si="1"/>
        <v>0</v>
      </c>
      <c r="K23" s="116">
        <f t="shared" si="1"/>
        <v>0</v>
      </c>
      <c r="L23" s="116">
        <f t="shared" si="1"/>
        <v>0</v>
      </c>
      <c r="M23" s="116">
        <f t="shared" si="1"/>
        <v>0</v>
      </c>
      <c r="N23" s="116">
        <f t="shared" si="1"/>
        <v>5685701</v>
      </c>
    </row>
    <row r="24" spans="1:14" ht="15.6">
      <c r="A24" s="107"/>
      <c r="B24" s="107"/>
      <c r="C24" s="107"/>
      <c r="D24" s="107"/>
      <c r="E24" s="107"/>
      <c r="F24" s="107"/>
      <c r="G24" s="107"/>
      <c r="H24" s="107"/>
      <c r="I24" s="107"/>
      <c r="J24" s="107"/>
      <c r="K24" s="107"/>
      <c r="L24" s="107"/>
      <c r="M24" s="107"/>
      <c r="N24" s="107"/>
    </row>
    <row r="25" spans="1:14" ht="15.6">
      <c r="A25" s="106" t="s">
        <v>293</v>
      </c>
      <c r="B25" s="107"/>
      <c r="C25" s="107"/>
      <c r="D25" s="107"/>
      <c r="E25" s="107"/>
      <c r="F25" s="107"/>
      <c r="G25" s="107"/>
      <c r="H25" s="107"/>
      <c r="I25" s="107"/>
      <c r="J25" s="107"/>
      <c r="K25" s="107"/>
      <c r="L25" s="107"/>
      <c r="M25" s="107"/>
      <c r="N25" s="107"/>
    </row>
    <row r="26" spans="1:14" ht="15.6">
      <c r="A26" s="106"/>
      <c r="B26" s="107"/>
      <c r="C26" s="107"/>
      <c r="D26" s="107"/>
      <c r="E26" s="107"/>
      <c r="F26" s="107"/>
      <c r="G26" s="107"/>
      <c r="H26" s="107"/>
      <c r="I26" s="107"/>
      <c r="J26" s="107"/>
      <c r="K26" s="107"/>
      <c r="L26" s="107"/>
      <c r="M26" s="107"/>
      <c r="N26" s="107"/>
    </row>
    <row r="27" spans="1:14" ht="15.6">
      <c r="A27" s="120" t="s">
        <v>314</v>
      </c>
      <c r="B27" s="114">
        <v>0</v>
      </c>
      <c r="C27" s="107">
        <v>-21527</v>
      </c>
      <c r="D27" s="107">
        <v>-995026</v>
      </c>
      <c r="E27" s="107">
        <v>0</v>
      </c>
      <c r="F27" s="107">
        <v>0</v>
      </c>
      <c r="G27" s="107">
        <v>-4669148</v>
      </c>
      <c r="H27" s="107"/>
      <c r="I27" s="107"/>
      <c r="J27" s="107"/>
      <c r="K27" s="107"/>
      <c r="L27" s="107"/>
      <c r="M27" s="107"/>
      <c r="N27" s="107">
        <f t="shared" ref="N27:N32" si="2">ROUND(SUM(B27:M27),0)</f>
        <v>-5685701</v>
      </c>
    </row>
    <row r="28" spans="1:14" ht="15.6">
      <c r="A28" s="117" t="s">
        <v>315</v>
      </c>
      <c r="B28" s="107"/>
      <c r="C28" s="107"/>
      <c r="D28" s="121"/>
      <c r="E28" s="121"/>
      <c r="F28" s="121"/>
      <c r="G28" s="121"/>
      <c r="H28" s="121"/>
      <c r="I28" s="121"/>
      <c r="J28" s="121"/>
      <c r="K28" s="121"/>
      <c r="L28" s="121"/>
      <c r="M28" s="121"/>
      <c r="N28" s="107">
        <f t="shared" si="2"/>
        <v>0</v>
      </c>
    </row>
    <row r="29" spans="1:14" ht="15.6">
      <c r="A29" s="107" t="s">
        <v>401</v>
      </c>
      <c r="B29" s="107"/>
      <c r="C29" s="107"/>
      <c r="D29" s="107"/>
      <c r="E29" s="109"/>
      <c r="F29" s="107"/>
      <c r="G29" s="107"/>
      <c r="H29" s="107"/>
      <c r="I29" s="107"/>
      <c r="J29" s="107"/>
      <c r="K29" s="107"/>
      <c r="L29" s="107"/>
      <c r="M29" s="107"/>
      <c r="N29" s="107">
        <f t="shared" si="2"/>
        <v>0</v>
      </c>
    </row>
    <row r="30" spans="1:14" ht="15.6">
      <c r="A30" s="497"/>
      <c r="B30" s="107"/>
      <c r="C30" s="107"/>
      <c r="D30" s="107"/>
      <c r="E30" s="107"/>
      <c r="F30" s="107"/>
      <c r="G30" s="107"/>
      <c r="H30" s="107"/>
      <c r="I30" s="107"/>
      <c r="J30" s="107"/>
      <c r="K30" s="107"/>
      <c r="L30" s="107"/>
      <c r="M30" s="107"/>
      <c r="N30" s="107">
        <f t="shared" si="2"/>
        <v>0</v>
      </c>
    </row>
    <row r="31" spans="1:14" ht="15.6">
      <c r="A31" s="115"/>
      <c r="B31" s="107"/>
      <c r="C31" s="107"/>
      <c r="D31" s="107"/>
      <c r="E31" s="107"/>
      <c r="F31" s="107"/>
      <c r="G31" s="107"/>
      <c r="H31" s="107"/>
      <c r="I31" s="107"/>
      <c r="J31" s="107"/>
      <c r="K31" s="107"/>
      <c r="L31" s="107"/>
      <c r="M31" s="107"/>
      <c r="N31" s="107">
        <f t="shared" si="2"/>
        <v>0</v>
      </c>
    </row>
    <row r="32" spans="1:14" ht="15.6">
      <c r="A32" s="115"/>
      <c r="B32" s="107"/>
      <c r="C32" s="107"/>
      <c r="D32" s="107"/>
      <c r="E32" s="107"/>
      <c r="F32" s="107"/>
      <c r="G32" s="107"/>
      <c r="H32" s="107"/>
      <c r="I32" s="107"/>
      <c r="J32" s="107"/>
      <c r="K32" s="107"/>
      <c r="L32" s="107"/>
      <c r="M32" s="107"/>
      <c r="N32" s="107">
        <f t="shared" si="2"/>
        <v>0</v>
      </c>
    </row>
    <row r="33" spans="1:14" ht="15.6">
      <c r="A33" s="115"/>
      <c r="B33" s="107"/>
      <c r="C33" s="107"/>
      <c r="D33" s="107"/>
      <c r="E33" s="107"/>
      <c r="F33" s="107"/>
      <c r="G33" s="107"/>
      <c r="H33" s="107"/>
      <c r="I33" s="107"/>
      <c r="J33" s="107"/>
      <c r="K33" s="107"/>
      <c r="L33" s="107"/>
      <c r="M33" s="107"/>
      <c r="N33" s="107"/>
    </row>
    <row r="34" spans="1:14" ht="15.6">
      <c r="A34" s="115"/>
      <c r="B34" s="107"/>
      <c r="C34" s="107"/>
      <c r="D34" s="107"/>
      <c r="E34" s="107"/>
      <c r="F34" s="107"/>
      <c r="G34" s="107"/>
      <c r="H34" s="107"/>
      <c r="I34" s="107"/>
      <c r="J34" s="107"/>
      <c r="K34" s="107"/>
      <c r="L34" s="107"/>
      <c r="M34" s="107"/>
      <c r="N34" s="107"/>
    </row>
    <row r="35" spans="1:14" ht="15.6">
      <c r="A35" s="106" t="s">
        <v>291</v>
      </c>
      <c r="B35" s="116">
        <f t="shared" ref="B35:N35" si="3">ROUND(SUM(B27:B32),0)</f>
        <v>0</v>
      </c>
      <c r="C35" s="116">
        <f t="shared" si="3"/>
        <v>-21527</v>
      </c>
      <c r="D35" s="116">
        <f t="shared" si="3"/>
        <v>-995026</v>
      </c>
      <c r="E35" s="116">
        <f t="shared" si="3"/>
        <v>0</v>
      </c>
      <c r="F35" s="116">
        <f t="shared" si="3"/>
        <v>0</v>
      </c>
      <c r="G35" s="116">
        <f t="shared" si="3"/>
        <v>-4669148</v>
      </c>
      <c r="H35" s="116">
        <f t="shared" si="3"/>
        <v>0</v>
      </c>
      <c r="I35" s="116">
        <f t="shared" si="3"/>
        <v>0</v>
      </c>
      <c r="J35" s="116">
        <f t="shared" si="3"/>
        <v>0</v>
      </c>
      <c r="K35" s="116">
        <f t="shared" si="3"/>
        <v>0</v>
      </c>
      <c r="L35" s="116">
        <f t="shared" si="3"/>
        <v>0</v>
      </c>
      <c r="M35" s="116">
        <f t="shared" si="3"/>
        <v>0</v>
      </c>
      <c r="N35" s="116">
        <f t="shared" si="3"/>
        <v>-5685701</v>
      </c>
    </row>
    <row r="36" spans="1:14" ht="15.6">
      <c r="A36" s="107"/>
      <c r="B36" s="107"/>
      <c r="C36" s="107"/>
      <c r="D36" s="107"/>
      <c r="E36" s="107"/>
      <c r="F36" s="107"/>
      <c r="G36" s="107"/>
      <c r="H36" s="107"/>
      <c r="I36" s="107"/>
      <c r="J36" s="107"/>
      <c r="K36" s="107"/>
      <c r="L36" s="107"/>
      <c r="M36" s="107"/>
      <c r="N36" s="107"/>
    </row>
    <row r="37" spans="1:14" ht="16.2" thickBot="1">
      <c r="A37" s="486" t="s">
        <v>290</v>
      </c>
      <c r="B37" s="496">
        <f t="shared" ref="B37:M37" si="4">+B9+B23+B35</f>
        <v>0</v>
      </c>
      <c r="C37" s="496">
        <f t="shared" si="4"/>
        <v>0</v>
      </c>
      <c r="D37" s="496">
        <f t="shared" si="4"/>
        <v>0</v>
      </c>
      <c r="E37" s="496">
        <f t="shared" si="4"/>
        <v>0</v>
      </c>
      <c r="F37" s="496">
        <f t="shared" si="4"/>
        <v>0</v>
      </c>
      <c r="G37" s="496">
        <f t="shared" si="4"/>
        <v>0</v>
      </c>
      <c r="H37" s="496">
        <f t="shared" si="4"/>
        <v>0</v>
      </c>
      <c r="I37" s="496">
        <f t="shared" si="4"/>
        <v>0</v>
      </c>
      <c r="J37" s="496">
        <f t="shared" si="4"/>
        <v>0</v>
      </c>
      <c r="K37" s="496">
        <f t="shared" si="4"/>
        <v>0</v>
      </c>
      <c r="L37" s="496">
        <f t="shared" si="4"/>
        <v>0</v>
      </c>
      <c r="M37" s="496">
        <f t="shared" si="4"/>
        <v>0</v>
      </c>
      <c r="N37" s="496">
        <f>N9+N23+N35</f>
        <v>0</v>
      </c>
    </row>
    <row r="38" spans="1:14" ht="15.6">
      <c r="A38" s="101"/>
      <c r="B38" s="101"/>
      <c r="C38" s="101"/>
      <c r="D38" s="101"/>
      <c r="E38" s="101"/>
      <c r="F38" s="101"/>
      <c r="G38" s="101"/>
      <c r="H38" s="101"/>
      <c r="I38" s="101"/>
      <c r="J38" s="101"/>
      <c r="K38" s="101"/>
      <c r="L38" s="101"/>
      <c r="M38" s="101"/>
      <c r="N38" s="101"/>
    </row>
    <row r="39" spans="1:14" ht="15.6">
      <c r="A39" s="101"/>
      <c r="B39" s="101"/>
      <c r="C39" s="101"/>
      <c r="D39" s="101"/>
      <c r="E39" s="101"/>
      <c r="F39" s="101"/>
      <c r="G39" s="101"/>
      <c r="H39" s="101"/>
      <c r="I39" s="101"/>
      <c r="J39" s="101"/>
      <c r="K39" s="101"/>
      <c r="L39" s="101"/>
      <c r="M39" s="101"/>
      <c r="N39" s="101"/>
    </row>
    <row r="40" spans="1:14" ht="15.6">
      <c r="A40" s="101"/>
      <c r="B40" s="101"/>
      <c r="C40" s="101"/>
      <c r="D40" s="101"/>
      <c r="E40" s="101"/>
      <c r="F40" s="101"/>
      <c r="G40" s="101"/>
      <c r="H40" s="101"/>
      <c r="I40" s="101"/>
      <c r="J40" s="101"/>
      <c r="K40" s="101"/>
      <c r="L40" s="101"/>
      <c r="M40" s="101"/>
      <c r="N40" s="101"/>
    </row>
    <row r="41" spans="1:14" ht="15.6">
      <c r="A41" s="101" t="s">
        <v>316</v>
      </c>
      <c r="B41" s="101"/>
      <c r="C41" s="101"/>
      <c r="D41" s="101"/>
      <c r="E41" s="101"/>
      <c r="F41" s="101"/>
      <c r="G41" s="101"/>
      <c r="H41" s="101"/>
      <c r="I41" s="101"/>
      <c r="J41" s="101"/>
      <c r="K41" s="101"/>
      <c r="L41" s="101"/>
      <c r="M41" s="101"/>
      <c r="N41" s="101"/>
    </row>
    <row r="42" spans="1:14" ht="15.6">
      <c r="A42" s="101" t="s">
        <v>317</v>
      </c>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Schedule 1</vt:lpstr>
      <vt:lpstr>Schedule 1 Supplemental</vt:lpstr>
      <vt:lpstr>Schedule 2</vt:lpstr>
      <vt:lpstr>Schedule 3</vt:lpstr>
      <vt:lpstr>Schedule 4</vt:lpstr>
      <vt:lpstr>Schedule 5</vt:lpstr>
      <vt:lpstr>Fund 0888 </vt:lpstr>
      <vt:lpstr>Fund 5085</vt:lpstr>
      <vt:lpstr>Fund 5084</vt:lpstr>
      <vt:lpstr>Fund 0666 </vt:lpstr>
      <vt:lpstr>Fund 8093</vt:lpstr>
      <vt:lpstr>Fund 0802 </vt:lpstr>
      <vt:lpstr>Fund 0001</vt:lpstr>
      <vt:lpstr>Schedule 7</vt:lpstr>
      <vt:lpstr>Footnotes to Schedule 7</vt:lpstr>
      <vt:lpstr>Schedule 8</vt:lpstr>
      <vt:lpstr>Data</vt:lpstr>
      <vt:lpstr>'Footnotes to Schedule 7'!Print_Area</vt:lpstr>
      <vt:lpstr>'Fund 0001'!Print_Area</vt:lpstr>
      <vt:lpstr>'Fund 0666 '!Print_Area</vt:lpstr>
      <vt:lpstr>'Fund 0802 '!Print_Area</vt:lpstr>
      <vt:lpstr>'Fund 0888 '!Print_Area</vt:lpstr>
      <vt:lpstr>'Fund 5084'!Print_Area</vt:lpstr>
      <vt:lpstr>'Fund 5085'!Print_Area</vt:lpstr>
      <vt:lpstr>'Fund 8093'!Print_Area</vt:lpstr>
      <vt:lpstr>'Schedule 1'!Print_Area</vt:lpstr>
      <vt:lpstr>'Schedule 2'!Print_Area</vt:lpstr>
      <vt:lpstr>'Schedule 3'!Print_Area</vt:lpstr>
      <vt:lpstr>'Schedule 4'!Print_Area</vt:lpstr>
      <vt:lpstr>'Schedule 5'!Print_Area</vt:lpstr>
      <vt:lpstr>'Schedule 7'!Print_Area</vt:lpstr>
      <vt:lpstr>'Schedule 8'!Print_Area</vt:lpstr>
      <vt:lpstr>'Schedule 1'!Print_Titles</vt:lpstr>
      <vt:lpstr>'Schedule 1 Supplemental'!Print_Titles</vt:lpstr>
      <vt:lpstr>'Schedule 2'!Print_Titles</vt:lpstr>
      <vt:lpstr>'Schedule 3'!Print_Titles</vt:lpstr>
      <vt:lpstr>'Schedule 4'!Print_Titles</vt:lpstr>
      <vt:lpstr>'Schedule 5'!Print_Titles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Biggar,Lea Ann (DFPS)</cp:lastModifiedBy>
  <cp:lastPrinted>2017-06-30T16:48:03Z</cp:lastPrinted>
  <dcterms:created xsi:type="dcterms:W3CDTF">2007-10-30T15:19:17Z</dcterms:created>
  <dcterms:modified xsi:type="dcterms:W3CDTF">2017-09-07T17:01:28Z</dcterms:modified>
</cp:coreProperties>
</file>